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64011"/>
  <mc:AlternateContent xmlns:mc="http://schemas.openxmlformats.org/markup-compatibility/2006">
    <mc:Choice Requires="x15">
      <x15ac:absPath xmlns:x15ac="http://schemas.microsoft.com/office/spreadsheetml/2010/11/ac" url="Z:\Strom\BK8-Allgemeinfestlegungen\2023_FL_Kosten_Messwesen\03_Konsultation_Eckpunktepapier\03_Stellungnahmen\FormblattStn\Aggregiert\"/>
    </mc:Choice>
  </mc:AlternateContent>
  <bookViews>
    <workbookView xWindow="0" yWindow="0" windowWidth="28800" windowHeight="12240"/>
  </bookViews>
  <sheets>
    <sheet name="Stellungnahmen"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s>
  <definedNames>
    <definedName name="_xlnm._FilterDatabase" localSheetId="0" hidden="1">Stellungnahmen!$A$1:$G$377</definedName>
  </definedName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29" i="1" l="1"/>
  <c r="A328" i="1"/>
  <c r="B329" i="1" l="1"/>
  <c r="B328" i="1"/>
  <c r="A299" i="1" l="1"/>
  <c r="A298" i="1"/>
  <c r="B298" i="1" l="1"/>
  <c r="B299" i="1"/>
  <c r="A301" i="1" l="1"/>
  <c r="A300" i="1"/>
  <c r="B301" i="1" l="1"/>
  <c r="B300" i="1"/>
  <c r="A338" i="1" l="1"/>
  <c r="A337" i="1"/>
  <c r="A336" i="1"/>
  <c r="A335" i="1"/>
  <c r="A334" i="1"/>
  <c r="A333" i="1"/>
  <c r="A332" i="1"/>
  <c r="A331" i="1"/>
  <c r="A330" i="1"/>
  <c r="B331" i="1" l="1"/>
  <c r="B335" i="1"/>
  <c r="B333" i="1"/>
  <c r="B337" i="1"/>
  <c r="B330" i="1"/>
  <c r="B332" i="1"/>
  <c r="B334" i="1"/>
  <c r="B336" i="1"/>
  <c r="B338" i="1"/>
  <c r="A280" i="1"/>
  <c r="A279" i="1"/>
  <c r="B280" i="1" l="1"/>
  <c r="B279" i="1"/>
  <c r="A272" i="1" l="1"/>
  <c r="A271" i="1"/>
  <c r="B272" i="1" l="1"/>
  <c r="B271" i="1"/>
  <c r="A270" i="1" l="1"/>
  <c r="A269" i="1"/>
  <c r="B270" i="1" l="1"/>
  <c r="B269" i="1"/>
  <c r="A361" i="1"/>
  <c r="A360" i="1"/>
  <c r="A245" i="1" l="1"/>
  <c r="A244" i="1"/>
  <c r="B245" i="1" l="1"/>
  <c r="B244" i="1"/>
  <c r="A243" i="1" l="1"/>
  <c r="A242" i="1"/>
  <c r="B243" i="1" l="1"/>
  <c r="B242" i="1"/>
  <c r="A241" i="1" l="1"/>
  <c r="A240" i="1"/>
  <c r="B241" i="1" l="1"/>
  <c r="B240" i="1"/>
  <c r="A162" i="1" l="1"/>
  <c r="A161" i="1"/>
  <c r="B162" i="1" l="1"/>
  <c r="B161" i="1"/>
  <c r="A164" i="1" l="1"/>
  <c r="A163" i="1"/>
  <c r="B163" i="1" l="1"/>
  <c r="B164" i="1"/>
  <c r="A295" i="1" l="1"/>
  <c r="A294" i="1"/>
  <c r="A293" i="1"/>
  <c r="B295" i="1" l="1"/>
  <c r="B293" i="1"/>
  <c r="B294" i="1"/>
  <c r="A118" i="1" l="1"/>
  <c r="A117" i="1"/>
  <c r="A116" i="1"/>
  <c r="A115" i="1"/>
  <c r="A114" i="1"/>
  <c r="B115" i="1" l="1"/>
  <c r="B116" i="1"/>
  <c r="B117" i="1"/>
  <c r="B118" i="1"/>
  <c r="B114" i="1"/>
  <c r="A175" i="1" l="1"/>
  <c r="A174" i="1"/>
  <c r="B175" i="1" l="1"/>
  <c r="B174" i="1"/>
  <c r="A184" i="1" l="1"/>
  <c r="A183" i="1"/>
  <c r="B184" i="1" l="1"/>
  <c r="B183" i="1"/>
  <c r="A230" i="1" l="1"/>
  <c r="A229" i="1"/>
  <c r="B230" i="1" l="1"/>
  <c r="B229" i="1"/>
  <c r="A276" i="1" l="1"/>
  <c r="A275" i="1"/>
  <c r="B276" i="1" l="1"/>
  <c r="B275" i="1"/>
  <c r="A23" i="1" l="1"/>
  <c r="A22" i="1"/>
  <c r="B23" i="1" l="1"/>
  <c r="B22" i="1"/>
  <c r="A251" i="1" l="1"/>
  <c r="A250" i="1"/>
  <c r="B251" i="1" l="1"/>
  <c r="B250" i="1"/>
  <c r="A344" i="1" l="1"/>
  <c r="A343" i="1"/>
  <c r="B344" i="1" l="1"/>
  <c r="B343" i="1"/>
  <c r="A49" i="1" l="1"/>
  <c r="A48" i="1"/>
  <c r="A47" i="1"/>
  <c r="A46" i="1"/>
  <c r="A45" i="1"/>
  <c r="A44" i="1"/>
  <c r="A43" i="1"/>
  <c r="A42" i="1"/>
  <c r="A41" i="1"/>
  <c r="A40" i="1"/>
  <c r="A39" i="1"/>
  <c r="A38" i="1"/>
  <c r="A37" i="1"/>
  <c r="A36" i="1"/>
  <c r="A35" i="1"/>
  <c r="A34" i="1"/>
  <c r="B43" i="1" l="1"/>
  <c r="B34" i="1"/>
  <c r="B47" i="1"/>
  <c r="B38" i="1"/>
  <c r="B37" i="1"/>
  <c r="B41" i="1"/>
  <c r="B42" i="1"/>
  <c r="B46" i="1"/>
  <c r="B36" i="1"/>
  <c r="B40" i="1"/>
  <c r="B45" i="1"/>
  <c r="B49" i="1"/>
  <c r="B35" i="1"/>
  <c r="B39" i="1"/>
  <c r="B44" i="1"/>
  <c r="B48" i="1"/>
  <c r="A278" i="1" l="1"/>
  <c r="A277" i="1"/>
  <c r="B278" i="1" l="1"/>
  <c r="B277" i="1"/>
  <c r="A239" i="1" l="1"/>
  <c r="A238" i="1"/>
  <c r="B239" i="1" l="1"/>
  <c r="B238" i="1"/>
  <c r="A182" i="1" l="1"/>
  <c r="A181" i="1"/>
  <c r="B182" i="1" l="1"/>
  <c r="B181" i="1"/>
  <c r="A178" i="1" l="1"/>
  <c r="B178" i="1" l="1"/>
  <c r="A177" i="1" l="1"/>
  <c r="A176" i="1"/>
  <c r="B177" i="1" l="1"/>
  <c r="B176" i="1"/>
  <c r="A173" i="1" l="1"/>
  <c r="B173" i="1" l="1"/>
  <c r="A140" i="1" l="1"/>
  <c r="A139" i="1"/>
  <c r="B140" i="1" l="1"/>
  <c r="B139" i="1"/>
  <c r="A138" i="1" l="1"/>
  <c r="A137" i="1"/>
  <c r="B138" i="1" l="1"/>
  <c r="B137" i="1"/>
  <c r="A131" i="1" l="1"/>
  <c r="A130" i="1"/>
  <c r="B131" i="1" l="1"/>
  <c r="B130" i="1"/>
  <c r="A133" i="1" l="1"/>
  <c r="A132" i="1"/>
  <c r="B133" i="1" l="1"/>
  <c r="B132" i="1"/>
  <c r="A79" i="1" l="1"/>
  <c r="A78" i="1"/>
  <c r="B79" i="1" l="1"/>
  <c r="B78" i="1"/>
  <c r="A305" i="1" l="1"/>
  <c r="A304" i="1"/>
  <c r="B305" i="1" l="1"/>
  <c r="B304" i="1"/>
  <c r="A62" i="1" l="1"/>
  <c r="A61" i="1"/>
  <c r="A60" i="1"/>
  <c r="A59" i="1"/>
  <c r="A58" i="1"/>
  <c r="A57" i="1"/>
  <c r="A56" i="1"/>
  <c r="A55" i="1"/>
  <c r="A54" i="1"/>
  <c r="A53" i="1"/>
  <c r="A52" i="1"/>
  <c r="A51" i="1"/>
  <c r="A50" i="1"/>
  <c r="B50" i="1" l="1"/>
  <c r="B60" i="1"/>
  <c r="B59" i="1"/>
  <c r="B58" i="1"/>
  <c r="B62" i="1"/>
  <c r="B51" i="1"/>
  <c r="B52" i="1"/>
  <c r="B53" i="1"/>
  <c r="B54" i="1"/>
  <c r="B55" i="1"/>
  <c r="B56" i="1"/>
  <c r="B57" i="1"/>
  <c r="B61" i="1"/>
  <c r="A196" i="1" l="1"/>
  <c r="A195" i="1"/>
  <c r="B196" i="1" l="1"/>
  <c r="B195" i="1"/>
  <c r="A27" i="1" l="1"/>
  <c r="A26" i="1"/>
  <c r="B27" i="1" l="1"/>
  <c r="B26" i="1"/>
  <c r="A25" i="1" l="1"/>
  <c r="A24" i="1"/>
  <c r="B25" i="1" l="1"/>
  <c r="B24" i="1"/>
  <c r="A21" i="1" l="1"/>
  <c r="A20" i="1"/>
  <c r="B21" i="1" l="1"/>
  <c r="B20" i="1"/>
  <c r="A297" i="1" l="1"/>
  <c r="A296" i="1"/>
  <c r="B297" i="1" l="1"/>
  <c r="B296" i="1"/>
  <c r="A100" i="1" l="1"/>
  <c r="A99" i="1"/>
  <c r="A98" i="1"/>
  <c r="A97" i="1"/>
  <c r="A96" i="1"/>
  <c r="A95" i="1"/>
  <c r="A94" i="1"/>
  <c r="A93" i="1"/>
  <c r="A92" i="1"/>
  <c r="A91" i="1"/>
  <c r="A90" i="1"/>
  <c r="A89" i="1"/>
  <c r="B92" i="1" l="1"/>
  <c r="B96" i="1"/>
  <c r="B97" i="1"/>
  <c r="B98" i="1"/>
  <c r="B99" i="1"/>
  <c r="B100" i="1"/>
  <c r="B89" i="1"/>
  <c r="B90" i="1"/>
  <c r="B91" i="1"/>
  <c r="B93" i="1"/>
  <c r="B94" i="1"/>
  <c r="B95" i="1"/>
  <c r="A249" i="1" l="1"/>
  <c r="A248" i="1"/>
  <c r="B249" i="1" l="1"/>
  <c r="B248" i="1"/>
  <c r="A274" i="1" l="1"/>
  <c r="A273" i="1"/>
  <c r="B274" i="1" l="1"/>
  <c r="B273" i="1"/>
  <c r="A342" i="1" l="1"/>
  <c r="A341" i="1"/>
  <c r="B341" i="1" l="1"/>
  <c r="B342" i="1"/>
  <c r="A237" i="1" l="1"/>
  <c r="A236" i="1"/>
  <c r="B236" i="1" l="1"/>
  <c r="B237" i="1"/>
  <c r="A235" i="1" l="1"/>
  <c r="A234" i="1"/>
  <c r="B234" i="1" l="1"/>
  <c r="B235" i="1"/>
  <c r="A170" i="1" l="1"/>
  <c r="A169" i="1"/>
  <c r="B169" i="1" l="1"/>
  <c r="B170" i="1"/>
  <c r="A14" i="1" l="1"/>
  <c r="A13" i="1"/>
  <c r="A12" i="1"/>
  <c r="A11" i="1"/>
  <c r="A10" i="1"/>
  <c r="A9" i="1"/>
  <c r="A8" i="1"/>
  <c r="A7" i="1"/>
  <c r="A6" i="1"/>
  <c r="A5" i="1"/>
  <c r="B5" i="1" l="1"/>
  <c r="B6" i="1"/>
  <c r="B7" i="1"/>
  <c r="B8" i="1"/>
  <c r="B9" i="1"/>
  <c r="B10" i="1"/>
  <c r="B11" i="1"/>
  <c r="B12" i="1"/>
  <c r="B13" i="1"/>
  <c r="B14" i="1"/>
  <c r="A351" i="1" l="1"/>
  <c r="A350" i="1"/>
  <c r="A349" i="1"/>
  <c r="A348" i="1"/>
  <c r="A347" i="1"/>
  <c r="A346" i="1"/>
  <c r="A345" i="1"/>
  <c r="B345" i="1" l="1"/>
  <c r="B346" i="1"/>
  <c r="B347" i="1"/>
  <c r="B348" i="1"/>
  <c r="B349" i="1"/>
  <c r="B350" i="1"/>
  <c r="B351" i="1"/>
  <c r="A303" i="1" l="1"/>
  <c r="A302" i="1"/>
  <c r="B302" i="1" l="1"/>
  <c r="B303" i="1"/>
  <c r="A233" i="1" l="1"/>
  <c r="A232" i="1"/>
  <c r="A231" i="1"/>
  <c r="B231" i="1" l="1"/>
  <c r="B232" i="1"/>
  <c r="B233" i="1"/>
  <c r="A194" i="1" l="1"/>
  <c r="A193" i="1"/>
  <c r="A192" i="1"/>
  <c r="A191" i="1"/>
  <c r="A190" i="1"/>
  <c r="A189" i="1"/>
  <c r="A188" i="1"/>
  <c r="A187" i="1"/>
  <c r="A186" i="1"/>
  <c r="A185" i="1"/>
  <c r="B185" i="1" l="1"/>
  <c r="B186" i="1"/>
  <c r="B187" i="1"/>
  <c r="B188" i="1"/>
  <c r="B189" i="1"/>
  <c r="B190" i="1"/>
  <c r="B191" i="1"/>
  <c r="B192" i="1"/>
  <c r="B193" i="1"/>
  <c r="B194" i="1"/>
  <c r="A150" i="1" l="1"/>
  <c r="A149" i="1"/>
  <c r="A148" i="1"/>
  <c r="A147" i="1"/>
  <c r="A146" i="1"/>
  <c r="A145" i="1"/>
  <c r="A144" i="1"/>
  <c r="A143" i="1"/>
  <c r="A142" i="1"/>
  <c r="A141" i="1"/>
  <c r="B146" i="1" l="1"/>
  <c r="B141" i="1"/>
  <c r="B142" i="1"/>
  <c r="B143" i="1"/>
  <c r="B144" i="1"/>
  <c r="B145" i="1"/>
  <c r="B147" i="1"/>
  <c r="B148" i="1"/>
  <c r="B149" i="1"/>
  <c r="B150" i="1"/>
  <c r="A160" i="1" l="1"/>
  <c r="A159" i="1"/>
  <c r="A158" i="1"/>
  <c r="A157" i="1"/>
  <c r="A156" i="1"/>
  <c r="A155" i="1"/>
  <c r="A154" i="1"/>
  <c r="A153" i="1"/>
  <c r="A152" i="1"/>
  <c r="A151" i="1"/>
  <c r="B151" i="1" l="1"/>
  <c r="B152" i="1"/>
  <c r="B153" i="1"/>
  <c r="B154" i="1"/>
  <c r="B155" i="1"/>
  <c r="B156" i="1"/>
  <c r="B157" i="1"/>
  <c r="B158" i="1"/>
  <c r="B159" i="1"/>
  <c r="B160" i="1"/>
  <c r="A29" i="1" l="1"/>
  <c r="A28" i="1"/>
  <c r="A198" i="1" l="1"/>
  <c r="A197" i="1"/>
  <c r="B197" i="1" l="1"/>
  <c r="B198" i="1"/>
  <c r="A77" i="1" l="1"/>
  <c r="A76" i="1"/>
  <c r="A75" i="1"/>
  <c r="A74" i="1"/>
  <c r="A73" i="1"/>
  <c r="A72" i="1"/>
  <c r="A71" i="1"/>
  <c r="A70" i="1"/>
  <c r="A69" i="1"/>
  <c r="B69" i="1" l="1"/>
  <c r="B70" i="1"/>
  <c r="B71" i="1"/>
  <c r="B72" i="1"/>
  <c r="B73" i="1"/>
  <c r="B74" i="1"/>
  <c r="B75" i="1"/>
  <c r="B76" i="1"/>
  <c r="B77" i="1"/>
  <c r="A31" i="1" l="1"/>
  <c r="A30" i="1"/>
  <c r="B30" i="1" l="1"/>
  <c r="B31" i="1"/>
  <c r="A127" i="1" l="1"/>
  <c r="A126" i="1"/>
  <c r="A125" i="1"/>
  <c r="A124" i="1"/>
  <c r="A123" i="1"/>
  <c r="A122" i="1"/>
  <c r="A121" i="1"/>
  <c r="A120" i="1"/>
  <c r="A119" i="1"/>
  <c r="B119" i="1" l="1"/>
  <c r="B120" i="1"/>
  <c r="B121" i="1"/>
  <c r="B122" i="1"/>
  <c r="B123" i="1"/>
  <c r="B124" i="1"/>
  <c r="B125" i="1"/>
  <c r="B126" i="1"/>
  <c r="B127" i="1"/>
  <c r="A108" i="1" l="1"/>
  <c r="A107" i="1"/>
  <c r="A106" i="1"/>
  <c r="A105" i="1"/>
  <c r="A104" i="1"/>
  <c r="A103" i="1"/>
  <c r="A102" i="1"/>
  <c r="A101" i="1"/>
  <c r="B101" i="1" l="1"/>
  <c r="B102" i="1"/>
  <c r="B103" i="1"/>
  <c r="B104" i="1"/>
  <c r="B105" i="1"/>
  <c r="B106" i="1"/>
  <c r="B107" i="1"/>
  <c r="B108" i="1"/>
  <c r="A19" i="1" l="1"/>
  <c r="A18" i="1"/>
  <c r="B18" i="1" l="1"/>
  <c r="B19" i="1"/>
  <c r="A17" i="1" l="1"/>
  <c r="A16" i="1"/>
  <c r="A15" i="1"/>
  <c r="B15" i="1" l="1"/>
  <c r="B16" i="1"/>
  <c r="B17" i="1"/>
  <c r="A168" i="1" l="1"/>
  <c r="A167" i="1"/>
  <c r="A166" i="1"/>
  <c r="A165" i="1"/>
  <c r="B165" i="1" l="1"/>
  <c r="B166" i="1"/>
  <c r="B167" i="1"/>
  <c r="B168" i="1"/>
  <c r="A327" i="1" l="1"/>
  <c r="A326" i="1"/>
  <c r="A325" i="1"/>
  <c r="A324" i="1"/>
  <c r="B324" i="1" l="1"/>
  <c r="B326" i="1"/>
  <c r="B325" i="1"/>
  <c r="B327" i="1"/>
  <c r="A81" i="1" l="1"/>
  <c r="A80" i="1"/>
  <c r="B81" i="1" l="1"/>
  <c r="B80" i="1"/>
  <c r="A290" i="1" l="1"/>
  <c r="A289" i="1"/>
  <c r="B290" i="1" l="1"/>
  <c r="B289" i="1"/>
  <c r="A268" i="1" l="1"/>
  <c r="A267" i="1"/>
  <c r="A266" i="1"/>
  <c r="A265" i="1"/>
  <c r="A264" i="1"/>
  <c r="A263" i="1"/>
  <c r="A262" i="1"/>
  <c r="A261" i="1"/>
  <c r="A260" i="1"/>
  <c r="A259" i="1"/>
  <c r="A258" i="1"/>
  <c r="A257" i="1"/>
  <c r="A256" i="1"/>
  <c r="A255" i="1"/>
  <c r="A254" i="1"/>
  <c r="A253" i="1"/>
  <c r="A252" i="1"/>
  <c r="B253" i="1" l="1"/>
  <c r="B262" i="1"/>
  <c r="B266" i="1"/>
  <c r="B257" i="1"/>
  <c r="B252" i="1"/>
  <c r="B256" i="1"/>
  <c r="B261" i="1"/>
  <c r="B265" i="1"/>
  <c r="B255" i="1"/>
  <c r="B259" i="1"/>
  <c r="B260" i="1"/>
  <c r="B264" i="1"/>
  <c r="B268" i="1"/>
  <c r="B254" i="1"/>
  <c r="B258" i="1"/>
  <c r="B263" i="1"/>
  <c r="B267" i="1"/>
  <c r="A323" i="1" l="1"/>
  <c r="A322" i="1"/>
  <c r="A321" i="1"/>
  <c r="A320" i="1"/>
  <c r="A319" i="1"/>
  <c r="A318" i="1"/>
  <c r="A317" i="1"/>
  <c r="A316" i="1"/>
  <c r="A315" i="1"/>
  <c r="A314" i="1"/>
  <c r="A313" i="1"/>
  <c r="A312" i="1"/>
  <c r="A311" i="1"/>
  <c r="A310" i="1"/>
  <c r="A309" i="1"/>
  <c r="A308" i="1"/>
  <c r="A307" i="1"/>
  <c r="B308" i="1" l="1"/>
  <c r="B317" i="1"/>
  <c r="B312" i="1"/>
  <c r="B321" i="1"/>
  <c r="B307" i="1"/>
  <c r="B311" i="1"/>
  <c r="B310" i="1"/>
  <c r="B314" i="1"/>
  <c r="B315" i="1"/>
  <c r="B319" i="1"/>
  <c r="B323" i="1"/>
  <c r="B316" i="1"/>
  <c r="B320" i="1"/>
  <c r="B309" i="1"/>
  <c r="B313" i="1"/>
  <c r="B318" i="1"/>
  <c r="B322" i="1"/>
  <c r="A136" i="1" l="1"/>
  <c r="B136" i="1" l="1"/>
  <c r="A215" i="1" l="1"/>
  <c r="A214" i="1"/>
  <c r="A213" i="1"/>
  <c r="A212" i="1"/>
  <c r="A211" i="1"/>
  <c r="A210" i="1"/>
  <c r="A209" i="1"/>
  <c r="A208" i="1"/>
  <c r="A207" i="1"/>
  <c r="A206" i="1"/>
  <c r="A205" i="1"/>
  <c r="A204" i="1"/>
  <c r="A203" i="1"/>
  <c r="A202" i="1"/>
  <c r="A201" i="1"/>
  <c r="A200" i="1"/>
  <c r="A199" i="1"/>
  <c r="B201" i="1" l="1"/>
  <c r="B214" i="1"/>
  <c r="B210" i="1"/>
  <c r="B205" i="1"/>
  <c r="B200" i="1"/>
  <c r="B203" i="1"/>
  <c r="B208" i="1"/>
  <c r="B212" i="1"/>
  <c r="B204" i="1"/>
  <c r="B209" i="1"/>
  <c r="B213" i="1"/>
  <c r="B199" i="1"/>
  <c r="B202" i="1"/>
  <c r="B206" i="1"/>
  <c r="B207" i="1"/>
  <c r="B211" i="1"/>
  <c r="B215" i="1"/>
  <c r="A288" i="1" l="1"/>
  <c r="A287" i="1"/>
  <c r="B288" i="1" l="1"/>
  <c r="B287" i="1"/>
  <c r="A64" i="1" l="1"/>
  <c r="A63" i="1"/>
  <c r="B64" i="1" l="1"/>
  <c r="B63" i="1"/>
  <c r="A286" i="1" l="1"/>
  <c r="A285" i="1"/>
  <c r="A284" i="1"/>
  <c r="A283" i="1"/>
  <c r="A282" i="1"/>
  <c r="A281" i="1"/>
  <c r="B282" i="1" l="1"/>
  <c r="B283" i="1"/>
  <c r="B284" i="1"/>
  <c r="B285" i="1"/>
  <c r="B286" i="1"/>
  <c r="B281" i="1"/>
  <c r="A129" i="1" l="1"/>
  <c r="A128" i="1"/>
  <c r="B129" i="1" l="1"/>
  <c r="B128" i="1"/>
  <c r="A172" i="1" l="1"/>
  <c r="A171" i="1"/>
  <c r="B172" i="1" l="1"/>
  <c r="B171" i="1"/>
  <c r="A86" i="1" l="1"/>
  <c r="A85" i="1"/>
  <c r="A84" i="1"/>
  <c r="A83" i="1"/>
  <c r="A82" i="1"/>
  <c r="B82" i="1" l="1"/>
  <c r="B83" i="1"/>
  <c r="B84" i="1"/>
  <c r="B85" i="1"/>
  <c r="B86" i="1"/>
  <c r="A377" i="1" l="1"/>
  <c r="A376" i="1"/>
  <c r="A375" i="1"/>
  <c r="A374" i="1"/>
  <c r="A373" i="1"/>
  <c r="A372" i="1"/>
  <c r="A371" i="1"/>
  <c r="A370" i="1"/>
  <c r="A369" i="1"/>
  <c r="A368" i="1"/>
  <c r="A367" i="1"/>
  <c r="A366" i="1"/>
  <c r="A365" i="1"/>
  <c r="A364" i="1"/>
  <c r="A363" i="1"/>
  <c r="A362" i="1"/>
  <c r="B371" i="1" l="1"/>
  <c r="B362" i="1"/>
  <c r="B375" i="1"/>
  <c r="B366" i="1"/>
  <c r="B365" i="1"/>
  <c r="B369" i="1"/>
  <c r="B370" i="1"/>
  <c r="B374" i="1"/>
  <c r="B364" i="1"/>
  <c r="B368" i="1"/>
  <c r="B373" i="1"/>
  <c r="B377" i="1"/>
  <c r="B363" i="1"/>
  <c r="B367" i="1"/>
  <c r="B372" i="1"/>
  <c r="B376" i="1"/>
  <c r="A33" i="1" l="1"/>
  <c r="A32" i="1"/>
  <c r="B33" i="1" l="1"/>
  <c r="B32" i="1"/>
  <c r="A135" i="1" l="1"/>
  <c r="A134" i="1"/>
  <c r="B135" i="1" l="1"/>
  <c r="B134" i="1"/>
  <c r="A66" i="1" l="1"/>
  <c r="A65" i="1"/>
  <c r="B66" i="1" l="1"/>
  <c r="B65" i="1"/>
  <c r="A359" i="1" l="1"/>
  <c r="A358" i="1"/>
  <c r="A357" i="1"/>
  <c r="A356" i="1"/>
  <c r="A355" i="1"/>
  <c r="A354" i="1"/>
  <c r="A353" i="1"/>
  <c r="A352" i="1"/>
  <c r="B352" i="1" l="1"/>
  <c r="B353" i="1"/>
  <c r="B354" i="1"/>
  <c r="B355" i="1"/>
  <c r="B356" i="1"/>
  <c r="B357" i="1"/>
  <c r="B358" i="1"/>
  <c r="B359" i="1"/>
  <c r="A228" i="1" l="1"/>
  <c r="A227" i="1"/>
  <c r="A226" i="1"/>
  <c r="A225" i="1"/>
  <c r="A224" i="1"/>
  <c r="A223" i="1"/>
  <c r="A222" i="1"/>
  <c r="A221" i="1"/>
  <c r="A220" i="1"/>
  <c r="A219" i="1"/>
  <c r="A218" i="1"/>
  <c r="A217" i="1"/>
  <c r="A216" i="1"/>
  <c r="B218" i="1" l="1"/>
  <c r="B222" i="1"/>
  <c r="B226" i="1"/>
  <c r="B220" i="1"/>
  <c r="B224" i="1"/>
  <c r="B228" i="1"/>
  <c r="B216" i="1"/>
  <c r="B217" i="1"/>
  <c r="B221" i="1"/>
  <c r="B225" i="1"/>
  <c r="B219" i="1"/>
  <c r="B223" i="1"/>
  <c r="B227" i="1"/>
  <c r="A68" i="1" l="1"/>
  <c r="A67" i="1"/>
  <c r="B67" i="1" s="1"/>
  <c r="B68" i="1" l="1"/>
  <c r="A340" i="1" l="1"/>
  <c r="A339" i="1"/>
  <c r="B340" i="1" l="1"/>
  <c r="B339" i="1"/>
  <c r="A113" i="1" l="1"/>
  <c r="A112" i="1"/>
  <c r="A111" i="1"/>
  <c r="A110" i="1"/>
  <c r="A109" i="1"/>
  <c r="B109" i="1" l="1"/>
  <c r="B110" i="1"/>
  <c r="B111" i="1"/>
  <c r="B112" i="1"/>
  <c r="B113" i="1"/>
  <c r="A292" i="1" l="1"/>
  <c r="A291" i="1"/>
  <c r="B292" i="1" l="1"/>
  <c r="B291" i="1"/>
  <c r="A306" i="1" l="1"/>
  <c r="B306" i="1" l="1"/>
  <c r="A247" i="1" l="1"/>
  <c r="A246" i="1"/>
  <c r="B247" i="1" l="1"/>
  <c r="B246" i="1"/>
  <c r="A4" i="1" l="1"/>
  <c r="A3" i="1"/>
  <c r="A2" i="1"/>
  <c r="B4" i="1" l="1"/>
  <c r="B3" i="1"/>
  <c r="B2" i="1"/>
  <c r="A180" i="1" l="1"/>
  <c r="A179" i="1"/>
  <c r="B180" i="1" l="1"/>
  <c r="B179" i="1"/>
</calcChain>
</file>

<file path=xl/sharedStrings.xml><?xml version="1.0" encoding="utf-8"?>
<sst xmlns="http://schemas.openxmlformats.org/spreadsheetml/2006/main" count="1356" uniqueCount="289">
  <si>
    <t>2.1</t>
  </si>
  <si>
    <t>Die Planmenge ergibt sich als Summe aus dem Endbestand an iMSys aus dem der Anpassung der EOG um zwei Jahre vorausgehenden Jahr (t-2) und dem dreifachen des Zuwachses an iMSys im ersten Halbjahr des der Anpassung der EOG vorausgehenden Jahres (t-1). Die dreifache Berücksichtigung des Zuwachses an iMSys im ersten Halbjahr dient dazu, den voranschreitenden Rollout mit den aktuellsten Ist-Mengen zu prognostizieren. Damit werden der erwartete Zuwachs des der Anpassung der EOG vorausgehenden Jahres (t-1) sowie des Jahres berücksichtigt auf das sich die Anpassung der EOG bezieht.</t>
  </si>
  <si>
    <t>Bei gesicherten Erkenntnissen hinsichtlich der im betreffenden Jahr eingebauten Mengen für die intelligenten Messsysteme sollte es den Verteilernetzbetreibern ermöglicht werden, von dem vorgesehenen pauschalen Ansatz abzuweichen. Jedenfalls sollte der gesetzlich vorgesehene (Mindest-)Rollout-Fahrplan (vgl. § 45 MsbG) bei der Ermittlung der ansatzfähigen Kosten abgebildet werden können.</t>
  </si>
  <si>
    <t>Nach dem zur Konsultation gestellten Eckpunktepapier sollen die unserem Unternehmen nach § 3 Abs. 1 i.V.m. § 7 MsbG entstehenden Kosten für die Ausstattung von Letztverbrauchern mit intelligenten Messsystemen (sog. anteilige Preisobergrenze) ab dem Jahr 2025 in voller Höhe als dauerhaft nicht beeinflussbare Kostenanteile eingestuft werden.
Grundsätzlich ist das von Ihrer Behörde insoweit beabsichtigte Vorgehen nach unserer Auffassung zwar zu begrüßen, da hierdurch ab dem Jahr 2025 eine jährliche Abbildung dieser zusätzlichen Kosten während der laufenden 4. Regulierungsperiode durch unser Unternehmen ermöglicht wird. 
Allerdings sind die von Ihnen beabsichtigten Vorgaben zur Ermittlung der ansatzfähigen Plankosten kritisch zu hinterfragen.
Ausweislich des Eckpunktepapiers sollen zur Ermittlung der ansatzfähigen Plankosten die Planmengen für die intelligenten Messsysteme (iMSys) im betreffenden Jahr mit den anteiligen Preisobergrenzen multipliziert werden. Die hiernach heranzuziehenden Planmengen sollen wiederum durch Summierung der aus dem Endbestand an iMSys aus dem der Anpassung der Erlösobergrenze um zwei Jahre vorausgehenden Jahr (t-2) und dem Dreifachen des Zuwachses an iMSys im ersten Halbjahr der Anpassung der Erlösobergrenze des vorausgehenden Jahres (t-1) zu ermitteln sein. Dieser starre und pauschale Regelungsvorschlag trägt dem Umstand, dass das Messstellenbetriebsgesetz in § 45 verbindliche Ziele und einen konkreten Zeitrahmen für die Einführung von iMSys vorsieht, nicht in angemessener Weise Rechnung. Es bedarf daher einer Flexibilisierung der anzusetzenden Mengen; beim Vorliegen von gesicherten Erkenntnissen muss dem Netzbetreiber ermöglicht werden, von dem pauschalen Planmengenansatz abzuweichen.</t>
  </si>
  <si>
    <t>3.</t>
  </si>
  <si>
    <t>Vorgeschlagen wird die Umstellung auf ein Modell mit linearem Abbaupfad der operativen Kosten. Dazu werden die in der EOG enthaltenen Kosten aus dem konventionellen Messstellenbetrieb (einschließlich Messung), ermittelt anhand des Kostenträgers Messstellenbetrieb aus der Verprobung abzüglich des individuellen Kapitalkosten-Anteils (CAPEX) des Netzbetreibers, gleichmäßig abgezogen. Ab dem Jahr 2033 ergeben sich entsprechend der Ausstattungsverpflichtungen von Messstellen mit mME nach § 29 Abs. 3 MsbG keine Kosten aus dem konventionellen Messstellenbetrieb beim Netzbetreiber mehr.</t>
  </si>
  <si>
    <t>Der Endpunkt des linearen Abbaupfades sollte von einer Ausstattungsverpflichtung von modernen Messeinrichtungen (mME) und iMSys i.H.v. 95 % ausgehen.</t>
  </si>
  <si>
    <t>Unser Unternehmen begrüßt das von der BNetzA vorgeschlagene Modell zur Abbildung des Kostenrückgangs für konventionelle Messseinrichtungen durch den Einbau von mME und iMSys im Regulierungskonto. Hinsichtlich des Endpunktes des vorgeschlagenen linearen Abbaupfades weisen wir jedoch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künftig nicht vollständig entfallen und entsprechend auch nach Ende des Jahres 2032 noch operative Kosten anfallen werden.</t>
  </si>
  <si>
    <t>Einen etwaigen Sockelbetrag (remanente Kosten), der erst ab dem Jahr 2033 vollständig entfällt.</t>
  </si>
  <si>
    <t xml:space="preserve">Über das Vorhandensein von remanenten Kosten besteht zumindest dem Grunde nach Einvernehmen. Ergänzend zu dem vorgenannten Aspekt (lediglich 95%-Ziel bis Ende 2032) wäre eine Klarstellung der Beschlusskammer wünschenswert, welche deren Sicht hinsichtlich dem Gegenstand, der Ermittlung sowie der Berücksichtigung von remanenten Kosten bis 2033 und ggf. darüber hinaus darstellt.    </t>
  </si>
  <si>
    <t>1.</t>
  </si>
  <si>
    <t>Die TEN Thüringer Energienetze GmbH &amp; Co. KG schließt sich den Stellungnahmen von BDEW und VKU vollumfänglich an.</t>
  </si>
  <si>
    <t>Die Planmenge ergibt sich als Summe aus dem Endbestand an iMSys aus dem der Anpassung der EOG um zwei Jahre vorausgehenden Jahr (t-2) und dem dreifachen des Zuwachses an iMSys im ersten Halbjahr des der Anpassung der EOG vorausgehenden Jahres (t-1). Die dreifache Berücksichtigung des Zuwachses an iMSys im ersten Halbjahr dient dazu, den voranschreitenden Rollout mit den aktuellsten Ist-Mengen zu prognostizieren. Damit könnte der erwartete Zuwachs des der Anpassung der EOG vorausgehenden Jahres (t-1) sowie des Jahres berücksichtigt werden auf das sich die Anpassung der EOG bezieht. Bei gesicherten Erkenntnissen hinsichtlich der im betreffenden Jahr eingebauten Mengen für die intelligenten Messsysteme wird den Verteilernetzbetreibern ermöglicht, von dem vorgesehenen pauschalen Ansatz abzuweichen, um individuelle Hemmnisse oder Dynamiken des Ausbaupfades von iMSys in der EOG abbilden zu können.</t>
  </si>
  <si>
    <t>Nach dem zur Konsultation gestellten Eckpunktepapier sollen die unserem Unternehmen nach § 3 Abs. 1 i.V.m. § 7 MsbG entstehenden Kosten für die Ausstattung von Letztverbrauchern mit intelligenten Messsystemen (sog. anteilige Preisobergrenze) ab dem Jahr 2025 in voller Höhe als dauerhaft nicht beeinflussbare Kostenanteile eingestuft werden. Grundsätzlich ist das von Ihrer Behörde insoweit beabsichtigte Vorgehen nach unserer Auffassung zwar zu begrüßen, da hierdurch ab dem Jahr 2025 eine jährliche Abbildung dieser zusätzlichen Kosten während der laufenden 4. Regulierungsperiode durch unser Unternehmen ermöglicht wird. Allerdings sind die von Ihnen beabsichtigten Vorgaben zur Ermittlung der ansatzfähigen Plankosten kritisch zu hinterfragen. Ausweislich des Eckpunktepapiers sollen zur Ermittlung der ansatzfähigen Plankosten die Planmengen für die intelligenten Messsysteme (iMSys) im betreffenden Jahr mit den anteiligen Preisobergrenzen multipliziert werden. Die hiernach heranzuziehenden Planmengen sollen wiederum durch Summierung der aus dem Endbestand an iMSys aus dem der Anpassung der Erlösobergrenze um zwei Jahre vorausgehenden Jahr (t-2) und dem Dreifachen des Zuwachses an iMSys im ersten Halbjahr der Anpassung der Erlösobergrenze des vorausgehenden Jahres (t-1) zu ermitteln sein. Dieser starre und pauschale Regelungsvorschlag trägt dem Umstand, dass das Messstellenbetriebsgesetz in § 45 verbindliche Ziele und einen konkreten Zeitrahmen für die Einführung von iMSys vorsieht, nicht in angemessener Weise Rechnung. Es bedarf daher einer Flexibilisierung der anzusetzenden Mengen; beim Vorliegen von gesicherten Erkenntnissen muss dem Netzbetreiber ermöglicht werden, von dem pauschalen Planmengenansatz abzuweichen. Der Ausbaupfad wird nicht linear verlaufen. Der Wettbewerb um Ressourcen wird bei der Beschaffung (Lieferverzögerungen) und beim Einbau (Fachkräftemangel) zu Verzögerungen führen. Gleichzeitig wird der Ausbau von EE-Anlagen und steuerbaren Verbrauchseinrichtungen zu zuzätzlichen Pflichteinbaufällen führen, sodass die Anzahl an Messstellen stetig steigen wird.</t>
  </si>
  <si>
    <t>Vorgeschlagen wird die Umstellung auf ein Modell mit anzahlabhängigem  Abbaupfad der operativen Kosten. Dazu werden die in der EOG enthaltenen anzahlabhängigen (variable)  Kosten aus dem konventionellen Messstellenbetrieb (einschließlich Messung), ermittelt anhand des Kostenträgers Messstellenbetrieb aus der Verprobung abzüglich des individuellen Kapitalkosten-Anteils (CAPEX) des Netzbetreibers, gleichmäßig abgezogen. Anzahlunabhängige (remanente) Kosten werden nicht abgebaut und bleiben weiterhin Bestandteil der EOG. Ab dem Jahr 2033 können sich entsprechend der Ausstattungsverpflichtungen von Messstellen mit mME nach § 29 Abs. 3 MsbG weiterhin Kosten aus dem konventionellen Messstellenbetrieb beim Netzbetreiber ergeben, da der Endpunkt des linearen Abbaupfades von einer Ausstattungsverpflichtung von modernen Messeinrichtungen (mME) und iMSys i.H.v. 95 % ausgeht.</t>
  </si>
  <si>
    <t>Hinsichtlich des Endpunktes des vorgeschlagenen linearen Abbaupfades weisen wir jedoch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künftig nicht vollständig entfallen und entsprechend auch nach Ende des Jahres 2032 noch operative Kosten anfallen werden. Für diese weiterhin konventionellen Zähler werden auch in Zukunft OPEX und CAPEX anfallen. Zudem müssen IT-Systeme über das Jahr 2033 hinaus revisionssicher für Reklamations- und Prüfungsanfragen zur Verfügung stehen.</t>
  </si>
  <si>
    <t>Den Ansatzpunkt für die in der EOG enthaltenen Kosten aus dem konventionellen Messstellenbetrieb, vorgeschlagen wird das Jahr 2021.</t>
  </si>
  <si>
    <t>Den Ansatzpunkt für die in der EOG enthaltenen Kosten aus dem konventionellen Messstellenbetrieb, vorgeschlagen wird das Jahr 2021 incl. einer Indizierung der Kosten auf das aktuelle Jahr.</t>
  </si>
  <si>
    <t>Kostensteigerungen (Inflationseffekte) nach 2021 werden nicht berücksichtigt.</t>
  </si>
  <si>
    <t>Sonderabschreibungen für vorzeitig ausgebaute konventionelle Messeinrichtungen werden in der EOG des VNB zum Zeitpunkt ihrer Entstehung berücksichtigt.</t>
  </si>
  <si>
    <t>Der Ausbau von konventionellen Messeinrichtungen vor Ablauf der Nutzungsdauer führt bereits vor dem 31.12.2032 zu Sonderabschreibungen, diese werden bisher nicht berücksichtigt. Die Refinanzierung dieser CAPEX ist im aktuellen Modell somit nicht möglich.</t>
  </si>
  <si>
    <t>ersatzlos streichen</t>
  </si>
  <si>
    <t>Die Plankosten ergeben sich aus den Planmengen für iMSys für das Jahr dessen Erlösobergrenze angepasst werden soll (z.B. 2025) multipliziert mit der anteiligen POG.</t>
  </si>
  <si>
    <t>Die Plankosten ergeben sich aus den Planmengen für iMSys für das Jahr dessen Erlösobergrenze angepasst werden soll (z.B. 2025) multipliziert mit der aktuell höchsten gültigen POG aus dem Messstellenbetriebsgesetz für den Anschlussnetzbetreiber. Diese POG wird für alle Einbaufälle zur Berechnung der Plankosten verwendet.</t>
  </si>
  <si>
    <t xml:space="preserve">Die Formulierung "anteilige POG" ist zu ungenau formuliert. Damit könnte nur ein Teil der POG für den Anschlussnetzbetreiber gemeint sein, was nicht der Fall ist. Daher ist hier ein genauer Bezug der POG auf den Anteil der Anschlussnetzbetreibers zu verweisen. </t>
  </si>
  <si>
    <t xml:space="preserve">Jedes intelligente Messsystem wird bei der Anpassung der EOG in Höhe der tatsächlich vom Netzbetreiber zu tragenden Kosten höchstens jedoch in Höhe der maximalen Beteiligung an der POG von 80 € berücksichtigt. </t>
  </si>
  <si>
    <t xml:space="preserve">Jedes intelligente Messsystem wird bei der Anpassung der EOG in Höhe der tatsächlich vom Netzbetreiber zu tragenden Kosten höchstens jedoch in Höhe der maximalen Beteiligung an der höchsten gültigen POG aus dem MsbG für Anschlussnetzbetreiber berücksichtigt. </t>
  </si>
  <si>
    <t>Im Eckpunktepapier wird die POG mit einer maximalen Höhe von 80 € definiert, was dem aktuellen MsbG entspricht. Bei der finalen Formulierung muss hier jedoch auf die jeweils gültige höchste POG aus dem MsbG verwiesen werden. Denn nach § 48 Abs. 1 Nr. 3 MsbG muss das BMWK eine Kosten-Nutzen-Analyse für die POG vorlegen (erstmals zum 30.06.2024) und entsprechend können künftig andere und auch höhere POG festgelegt werden. Zusätzlich sollte aus Vereinfachungs- und Praktikabilitätsgründen der Ansatz verfolgt werden, dass für den Planansatz immer die höchste POG für alle Einbaufälle (aktuell 80€) angesetzt werden kann. Die Differenz bei den Einbaufällen, bei denen die POG tatsächlich unter 80 € liegt, kann dann über das Regulierungskonto korrigiert werden. Dies reduziert die Komplexität bei der Mengenprognose. Zu diskutieren ist, ob eine Änderung der POG auch nachträglich für das Jahr 2024 gelten soll.
Darüber hinaus sieht § 34 Abs. 2 und 3 MsbG Zusatzleistungen vor, die für die Umsetzung der Vorgaben der BNetzA zu steuerbaren Verbrauchseinrichtungen gem. § 14a EnWG durch den Netzbetreiber sowie zur Digitalisierung des Netzbetriebs im Allgemeinen unerlässlich sind. Die Entgelte für diese Zusatzleistung werden dem gleichen Hochlauf unterliegen wie die anteiligen Preisobergrenzen für den Betrieb der intelligenten Messsysteme. Deshalb müssen die betreffenden Zusatzleistungen zumindest für den Zeitraum des initialen Rollouts ebenfalls von den Netzbetreibern als dnbk angesetzt werden können.</t>
  </si>
  <si>
    <t>Bei der Anpassung der EOG des Jahres 2024 findet die Beteiligung der Netzbetreiber an der POG von iMSys keine Berücksichtigung, da die Festlegung erst im Jahr 2024 in Kraft tritt: Dies entspricht einem Plankostenansatz von 0€ für das Jahr 2024.</t>
  </si>
  <si>
    <t>Dieser Punkt sollte diskutiert werden, ob andere Möglichkeiten bestehen.</t>
  </si>
  <si>
    <t xml:space="preserve">Für das Jahr 2024 soll laut Eckpunktepapier ein Ist-Abgleich über das Regulierungskonto erfolgen. Da der Smart-Meter-Rollout teilweise schon im Gange ist und das neue MsbG bereits mit dem Gesetz zum Neustart der Digitalisierung der Energiewende im Jahr 2023 in Kraft getreten ist, werden die im Jahr 2024 entstandenen Kosten im Stromnetzbereich erst mit einem deutlichen Zeitverzug erstattet. Hier wäre es noch sachgerechter, einen Ansatz zu suchen, der es den Verteilnetzbetreibern ermöglicht, die entstandenen Kosten früher zurückzuverdienen. </t>
  </si>
  <si>
    <t>2.2</t>
  </si>
  <si>
    <t>Übergangsregelung zur Nachholung des Jahres 2024: Aufgrund des Inkrafttretens der Festlegung im Laufe des Jahres 2024 wird die Beteiligung der Netzbetreiber an der POG von iMSys aus diesem Jahr auf dem RegK 2024 nachgefahren. Die Ist-Kosten aus der Beteiligung des Netzbetreibers an der POG von iMSys aus dem Jahr 2024 werden in voller Höhe auf dem Regulierungskalender 2024 verbucht und über die Jahre 2027-2029 ausgekehrt.</t>
  </si>
  <si>
    <t>Siehe G8</t>
  </si>
  <si>
    <t>Vorgeschlagen wird die Umstellung auf ein Modell mit linearem Abbaupfad der operativen Kosten. Dazu werden die in der EOG enthaltenen Kosten aus dem konventionellen Messstellenbetrieb (einschließlich Messung), ermittelt anhand des Kostenträgers Messstellenbetrieb aus der Verprobung abzüglich des individuellen Kapitalkosten-Anteils (CAPEX) des Neztbetreibers, gleichmäßig abgezogen. Ab dem Jahr 2033 ergeben sich entsprechend der Ausstattungspflichtverpflichtungen von Messstellen mit mME nach § 29 Abs. 3 MsbG keine Kosten aus dem konventionellen Messstellenbetrieb beim Netzbetreiber mehr.</t>
  </si>
  <si>
    <t xml:space="preserve">Vorgeschlagen wird die Umstellung auf ein Modell mit linearem Abbaupfad der operativen Kosten. Dazu werden die in der EOG enthaltenen Kosten aus dem konventionellen Messstellenbetrieb (einschließlich Messung), ermittelt anhand des Kostenträgers Messstellenbetrieb aus der Verprobung abzüglich des individuellen Kapitalkosten-Anteils (CAPEX) des Neztbetreibers, gleichmäßig abgezogen. </t>
  </si>
  <si>
    <t>Die Ausstattungsverpflichtungen des § 45 Abs. 1 und 2 MsbG sehen vor, dass die Rolloutfristen bei den RLM-Kunden mehrere Jahre nach den SLP-Kunden erfolgen. Darüber hinaus ist im MsbG eine Toleranz-schwelle von 5 Prozent der vorhandenen klassischen Zähler vorgesehen, die nicht durch moderne Mess-einrichtungen oder intelligente Messysteme ersetzt werden müssen (Stichworte kommunikative Erreich-barkeit der iMSys und Widerstände der Kunden beim Einbau). Deshalb muss der lineare Abbaupfad auf eine Weise ausgestaltet sein, dass nicht der komplette Abbau der Kosten auf null als Endpunkt angenommen wird, sondern bis auf weiteres mindestens 5 Prozent der Kosten des Jahres 2021 in der EOG verbleiben.</t>
  </si>
  <si>
    <t>Den Aufsatzpunkt für die in der EOG enthaltenen Kosten aus dem konventionellen Messstellenbetrieb, vorgeschlagen wird das Jahr 2021.</t>
  </si>
  <si>
    <t>Den Aufsatzpunkt für die in der EOG enthaltenen Kosten aus dem konventionellen Messstellenbetrieb für SLP Kunden, vorgeschlagen wird das Jahr 2021. Für RLM Kunden ist auf das Jahr 2025 anzusetzen. Eine pauschale Aufteilung des Kostenblocks für das Messwesen aus dem Jahr 2021 kann über ein doppeltes Gewicht aus der jeweils vorhandenen Anzahl der Zähler multipliziert mit dem hierfür vereinnahmten Messentgelt erfolgen.</t>
  </si>
  <si>
    <t xml:space="preserve">Beim Kostenabbau muss zwischen SLP- und RLM-Zählern unterschieden werden. Während für die SLP-Zähler der Startpunkt für das Jahr 2021 festgelegt werden kann, sollte der Beginn des Kostenabbaus für die RLM-Zähler erst für das Jahr 2025 unter-stellt werden. Die Aufteilung des Kostenblocks für das Messwesen zwischen SLP- und RLM-Kunden kann vereinfacht aus den Kosten aus dem Jahr 2021 abgeleitet werden. Die Anzahl der Zähler in der jeweiligen Kundengruppe wird mit den dazugehörigen vereinnahmten Messentgelt multipliziert. Das Verhältnis des SLP- und RLM-Wertes wird für die Aufteilung der Kosten aus dem Jahr 2021 genutzt. </t>
  </si>
  <si>
    <t>Die Form des Abbaupfads, vorgeschlagen wird ein linearer Abbaupfad. Dabei wären besondere Anstrengungen in den Anfangsjahren des Rollouts ab dem Jahr 2024 wirtschaftlich vorteilhaft für den Netzbetreiber.</t>
  </si>
  <si>
    <t>Siehe G11</t>
  </si>
  <si>
    <t>Den Umgang mit den bei Netzzu- und abgängen übergehenden Kosten aus dem konventionellen Messstellenbetrieb. Vorgeschlagen wird, diese Kosten unberücksichtigt zu lassen. In den Fällen von Netzübergängen wären die wirtschaftlichen Effekte zwischen den Parteien auszugleichen.</t>
  </si>
  <si>
    <t>Dieser Punkt ist zu diskutieren</t>
  </si>
  <si>
    <t>Den Umgang mit etwaigen Sonderabschreibungen für Zähler, die im Jahr 2032 noch nicht vollständig abgeschrieben sind. Vorgeschlagen wird, den im Jahr 2032 verbleibenden Restwert festzustellen und diesen linear abzusenken.</t>
  </si>
  <si>
    <t>Sonstiges</t>
  </si>
  <si>
    <t>Fehlende Ergänzung</t>
  </si>
  <si>
    <t>Darüber hinaus sieht § 34 Abs. 2 und 3 MsbG Zusatzleistungen vor, die für die Umsetzung der Vorgaben der BNetzA zu steuerbaren Verbrauchseinrichtungen gem. § 14a EnWG durch den Netzbetreiber sowie zur Digitalisierung des Netzbetriebs im Allgemeinen unerlässlich sind. Die Entgelte für diese Zusatzleistung werden dem gleichen Hochlauf unterliegen wie die anteiligen Preisobergrenzen für den Betrieb der intelligenten Messsysteme. Deshalb müssen die betreffenden Zusatzleistungen zumindest für den Zeitraum des initialen Rollouts ebenfalls von den Netzbetreibern als dnbk angesetzt werden können.</t>
  </si>
  <si>
    <t>Damit  der Ansatz der Anerkennung als dnbk auch für Verteilnetzbetreiber im vereinfachten Verfahren gilt, ist in der Festlegung eine entsprechende Klarstellung mit Verweis auf § 4 Abs. 3 Satz 1 Nr. 2 ARegV erforderlich. Denn im vereinfachten Verfahren gemäß § 24 Abs. 2 ARegV werden dnbk nach § 11 Absatz 2 Satz 1 Nummer 1 bis 3, 5 bis 7, 8b bis 16 ARegV pauschal mit 5 % der Gesamtkosten ermittelt und während der Regulierungsperiode nicht angepasst. Nur dnbK nach § 11 Absatz 2 Satz 1 Nummer 4 und 8 ARegV werden mit Planwerten t-0 berücksichtigt und Abweichungen über das Regulierungskonto ausgeglichen.</t>
  </si>
  <si>
    <t>Die Planmenge ergibt sich als Summe aus dem Endbestand an iMSys aus dem der Anpassung der EOG um zwei Jahre vorausgehenden Jahr (t-2) und dem Dreifachen des Zuwachses an iMSys im ersten Halbjahr des der Anpassung der EOG vorausgehenden Jahres (t-1).</t>
  </si>
  <si>
    <t>Die Planmenge ergibt sich als Summe aus dem Endbestand an iMSys und der Menge der Zusatzleistungen aus dem der Anpassung der EOG um zwei Jahre vorausgehenden Jahr (t-2) und dem Dreifachen des Zuwachses an iMSys im ersten Halbjahr des der Anpassung der EOG vorausgehenden Jahres (t-1).</t>
  </si>
  <si>
    <t>Mit dieser Änderung könnte der VNB-Kostenanteil für die Zusatzleistungen ebenfalls über einen Plankostenansatz ohne Zeitverzug in der EOG angesetzt werden</t>
  </si>
  <si>
    <t>Vorgeschlagen wird die Umstellung auf ein Modell mit linearem Abbaupfad der operativen Kosten</t>
  </si>
  <si>
    <t>Hinweis: Da der Umbau von kostenintensiven Lastgangmessungen erst gegen Ende des Rollouts erfolgt, bedeutet der lineare Abbaupfad einen wirtschaftlichen Nachteil für die Netzbetreiber. Aus Gründen der Praktikabilität kann der aktuelle Ansatz beibehalten werden.</t>
  </si>
  <si>
    <t>Den Aufsatzpunkt für die in der EOG enthaltenen Kosten aus dem konventionellen Messstellenbetrieb, vorgeschlagen wird das Jahr Basisjahr 2021.</t>
  </si>
  <si>
    <t>Klarstellung, dass es sich um die Kosten des Basisjahres 2021 handelt und nicht um die EOG 2021, die aus dem Basisjahr 2016 resultiert</t>
  </si>
  <si>
    <t>Den Umgang mit den bei Netzzu- und abgängen übergehenden Kosten aus dem konventionellen Messstellenbetrieb. Vorgeschlagen wird, diese Kosten unberücksichtigt zu lassen. In Fällen von Netzübergängen wären die wirtschaftlichen Effekte zwischen den Parteien auszugleichen.</t>
  </si>
  <si>
    <t xml:space="preserve">Bei Netzzu- und abgängen sind die Kosten des Basisjahres 2021 für beide Netzbetreiber um die übergehende Erlösobergrenze für den Messstellenbetrieb zu korrigieren. Hierzu bedarf es einer Festlegung der BNetzA, damit der abgebende Netzbetreiber nicht einseitig belastet wird. </t>
  </si>
  <si>
    <t>Die Korrektur des Ausgansgniveaus entspricht dem üblichen Vorgehen für Netzübergänge bei der Übertragung der Erlösobergrenze. Ansonsten würde dies - insbesondere bei Erlösübertragungen nach § 26 Absatz 3 bis 5 ARegV oder für bereits vollzogene Netzübergänge in der 4. Regulierungsperiode - zu wirtschaftlichen Nachteilen für den abgebenden Netzbetreiber führen.</t>
  </si>
  <si>
    <t>nicht vorhanden</t>
  </si>
  <si>
    <t>Aufnahme der Kosten für Zusatzleistungen im Messstellenbetrieb nach dem Absatz 3 wie folgt: "Darüber hinaus ist der Umgang mit Kosten zu regeln, die dem Netzbetreiber im Rahmen der Erfüllung seiner Pflichten aus anderen gesetzlichen Verpflichtungen (z.B. EnWG oder EEG) auf Grund der vom Netzbetreiber beim zuständigen Messstellenbetreiber zu beauftragenden Zusatzleistungen nach § 34 Abs. 2 MsbG entstehen"</t>
  </si>
  <si>
    <t>Diese Kosten entstehen auf Grund gesetzlicher Vorgaben und sind kaum durch den Netzbetreiber beinflussbar. Daher entsprechende Berücksichtigung als dnbk erforderlich. Beispiele für solche, relevante Zusatzleistungen im Messstellenbetrieb sind insbesondere:
-	Anpassung der Wirkleistungs- oder Blindleistungserzeugung oder des Wirkleistungsbezugs nach § 13a des EnWG notwendige Datenkommunikation über das Smart-Meter-Gateway
-	Steuerung der steuerbaren Verbrauchseinrichtungen und Netzanschlüssen nach § 14a EnWG 
-	Ausstattung der Messstellen des Netzbetreibers mit intelligenten Messsystemen und notwendigen technischen Einrichtungen, einschl. Steuerungseinrichtungen
-	Nach Maßgabe der §§ 56 und 64 des MsbG die Erhebung und die minütliche Übermittlung von Netzzustandsdaten an den Netzbetreiber über das Smart-Meter-Gateway
Die Aufzählung ist nicht abschließend, es können auf Grund bestehender oder künftig geänderter gesetzlichen Rahmenbedingungen weitere Zusatzleistungen dazu kommen.</t>
  </si>
  <si>
    <t>Ergänzen um "Bei der Darstellung der Ist-Kosten für die Zusatzleistungen im Messstellenbetrieb hat der Netzbetreiber die tatsächliche Kosten eines Jahres anzugeben, differenziert nach der Art der Zusatzleistung."</t>
  </si>
  <si>
    <t>siehe Begründung zu Randziffer 1</t>
  </si>
  <si>
    <t xml:space="preserve">Den Umgang mit etwaigen Sonderabschreibungen für Zähler, die im Jahr 2032 noch nicht vollständig abgeschrieben sind. Vorgeschlagen wird, den im Jahr 2032 verbleibenden Restwert festzustellen und diesen linear abzusenken. </t>
  </si>
  <si>
    <t xml:space="preserve">Bei den Kapitalkosten sind mehrere Aspekte zu berücksichtigen:
›	Es ist sicherzustellen, dass alle getätigten Investitionen in konventionelle Messeinrichtungen vollständig refinanziert werden können, entweder über MSB-Entgelte oder über Netzentgelte. 
›	Die kalkulatorischen Kapitalkosten der konventionellen Messeinrichtungen im Basisjahr 2021 und deren Absinken während der Regulierungsperiode wird im Ausgangsniveau der Erlösobergrenzen und über den Kapitalkostenabzug gemäß § 6 ARegV abgebildet. Hier wäre zu prüfen, ob und wie das auch bei einem von der Regulierungsperiode entkoppelten Abbaupfad umgesetzt werden kann.  
›	Werden konventionelle Messeinrichtungen noch vor Nutzungsdauer-Ende ausgebaut, entstehen kalkulatorische Buchverluste. Die kalkulatorischen Buchverluste aus dem Ausbau noch nicht abgeschriebener konventioneller Messeinrichtungen sollten in tatsächlicher Höhe über kalkulatorische Sonderabschreibungen abgebildet werden. 
›	Eine pragmatische, unbürokratische Alternative zu Sonderabschreibungen wäre, die konventionellen Messeinrichtungen auch nach dem Ausbau im Anlagevermögen des Netzbetreibers zu belassen und die Kapitalkosten bis zum Ende des Abbaupfades 2032 weiterlaufen zu lassen („fiktive Kapitalkosten“). 
›	Die zum Ende des Abbaupfades 2032 noch verbleibenden Restbuchwerte könnten zur Vermeidung einer überproportional hohen Sonderabschreibung linear über die Jahre 2025-2032 verteilt werden. Die benötigten Daten zum Anlagevermögen liegen bereits (geprüft) durch die vergangene Kostenprüfung vor. Eine Aktualisierung müsste lediglich um die Jahre 2029-2032 um die Restwerte der nach 2021 erfolgten Investitionen erfolgen. 
›	Vorteil dieses pragmatischen Ansatzes ist, dass nicht für jedes Jahr und jeden Netzbetreiber die vernichteten Restwerte separat ermittelt und durch die BNetzA geprüft bzw. genehmigt werden müssen. Netzbetreiber haben so die Planungssicherheit, ihre getätigten Investitionen zurückzuverdienen und können damit möglichst effizient moderne Messeinrichtungen und intelligente Messysteme ausrollen. Dies unterstützt den im Eckpunktepapier beabsichtigten OPEX-Anreiz für einen schnellen Rollout. </t>
  </si>
  <si>
    <t xml:space="preserve">Ein pauschaler Sockelbetrag in Höhe von 25 % in Anlehnung an die bisherige Remanenzkostenpauschale aus mehreren Gründen weiterhin sinnvoll und sachgerecht.  </t>
  </si>
  <si>
    <t xml:space="preserve">Mit der Sockelpauschale können folgende Kosten bzw. Risiken pauschal und pragmatisch abgebildet werden:
 ›	Besonderheiten von RLM-Messstellen
	Später startender Rollout
Bei Letztverbrauchern mit einem Jahresstromverbrauch über 100.000 kWh (§ 30 Abs. 1 Nr. 1 MsbG) oder Erzeugungsanlagen mit einer installierten Leistung über 100 kW (§ 30 Abs. 2 Nr. 4 MsbG) muss gemäß § 45 MsbG erst 2028 mit der Ausstattung mit intel-ligenten Messsystemen begonnen werden. Bis Ende 2027 können in diesem Segment noch konventionelle Messeinrichtungen eingebaut werden.
	Keine Reduzierung auf 0
Bei Letztverbrauchern mit einem Jahresstromverbrauch über 100.000 kWh (§ 30 Abs. 1 Nr. 1 MsbG) oder Erzeugungsanlagen mit einer installierten Leistung über 100 kW (§ 30 Abs. 2 Nr. 4 MsbG) muss gemäß § 45 MsbG eine Ausstattung mit intelligenten Messsystemen bis Ende 2032 nur von 95 % der auszustattenden Messstellen erfolgen. 
	RLM-Messeinrichtungen haben spezifisch höhere Kosten als SLP-Messstellen. 
Um auf eine Differenzierung des Abbaupfades und des Zielwerts zwischen SLP- und RLM-Messstellen verzichten zu können, ist eine pauschale Abbildung praktikabler.  
›	Risiken aus langfristigem ex-ante-Abbaupfad ohne Kostenabgleich
	Mit der MsbG-Novelle hat der Rollout an Dynamik gewonnen. Durch den angedachten ex-ante-Abbaupfad werden zusätzliche Anreize für einen beschleunigten Rollout gesetzt. Es besteht ein Risiko, dass diese erhöhte Dynamik (z. B. Hochlauf von § 14a-Anlagen) auch zu Engpässen bei Lieferanten (Verfügbarkeit von Technik) und Dienstleistern (Verfügbarkeit von Montagekapazitäten u. a. durch Konkurrenz zu anderen energiewendebedingten Hochläufen, z. B. PV-Anlagen) und damit auch Preissteigerungen oder Verzögerungen führt. 
	Anstatt aufwändig ex-post diese Aspekte regulatorisch zu würdigen, könnte durch den pauschalen Ansatz ein Effizienzanreiz gesetzt werden. 
›	Sprungfixe Kostenverläufe und begrenzte Beeinflussbarkeit von Kosten, z. B. IT-Kosten die unabhängig von der Anzahl konventioneller Messeinrichtungen anfallen. 
Zur praktischen Umsetzung der Sockelpauschale sollte der Aufsatzpunkt für den linearen Abbaupfad der operativen Kosten pauschal um 25% reduziert werden. 
Um stark steigende MSB-Entgelte für konventionellen MSB im Zeitablauf („den letzten RLM-Zähler“) zu vermeiden, sollten Remanenzkosten nicht über MSB-Entgelte, sondern über die allgemeinen Netzentgelte erlöst werden können. </t>
  </si>
  <si>
    <t>Im Rahmen der Anpassung der EOG (ab 2025 zum 31.12.2024) können alle Betreiber von Elektrizitätsversorgungsnetzen nach § 3 Nr. 2 EnWG unter einer neuen Position der dauerhaft nicht beeinflussbaren Kostenateile im Erhebungsbogen Plankosten (t-0) für die Beteiligung an der POG von iMSys nach § 30 Abs. 1-3 MsbG ansetzen.</t>
  </si>
  <si>
    <t>Die Plankosten ergeben sich aus den Planmengen für iMSys für das Jahr dessen Erlösobergrenze angepasst werden soll (z.B. 2025) multipliziert mit der aktuell höchsten gültigen POG  für den Anschlussnetzbetreiber aus dem Messstellenbetriebsgesetz. Diese POG wird für alle Einbaufälle zur Berechnung der Plankosten verwendet.</t>
  </si>
  <si>
    <t xml:space="preserve">Die Planmenge ergibt sich als Summe aus dem Endbestand an iMSys aus dem der Anpassung der EOG um zwei Jahre vorausgehenden Jahr (t-2) und dem Dreifachen des Zuwachses an iMSys im ersten Halbjahr des der Anpassung der EOG vorausgehenden Jahres (t-1). Die dreifache Berücksichtigung des Zuwachses an iMSys im ersten Halbjahr dient dazu, den voranschreitenden Rollout mit den aktuellsten IST-Mengen zu prognostizieren. Damit werden der erwartete Zuwachs des der Anpassung der EOG vorausgehenden Jahres (t-1) sowie des Jahres berücksichtigt auf das sich die Anpassung der EOG bezieht. </t>
  </si>
  <si>
    <t xml:space="preserve">Jedes intelligente Messsystem wird bei der Anpassung der EOG in Höhe der tatsächlich vom Netzbetreiber zu tragenden Kosten, höchstens jedoch in Höhe der maximalen Beteiligung an der höchsten gültigen POG für Anschlussnetzbetreiber  aus dem MsbG berücksichtigt. </t>
  </si>
  <si>
    <t>- Im Eckpunktepapier wird die POG mit einer maximalen Höhe von 80 € definiert, was dem aktuellen MsbG entspricht. Hierbei handelt es sich um einen Brutto-Betrag. Für die Kostenverteilung zwischen MSB und Netzbetreiber sind jedoch die Netto-Werte ohne Umsatzsteuer maßgeblich.
- Bei der finalen Formulierung muss hier außerdem auf die jeweils gültige höchste POG aus dem MsbG verwiesen werden. Denn nach § 48 Abs. 1 Nr. 3 MsbG muss das BMWK eine Kosten-Nutzen-Analyse für die POG vorlegen (erstmals zum 30.06.2024) und entsprechend können künftig andere und auch höhere POG festgelegt werden. Zusätzlich sollte aus Vereinfachungs- und Praktikabilitätsgründen der Ansatz verfolgt werden, dass für den Planansatz immer die höchste POG für alle Einbaufälle (aktuell 80 €) angesetzt werden kann. Die Differenz bei den Einbaufällen, bei denen die POG tatsächlich unter 80 € liegt, kann dann über das Regulierungskonto korrigiert werden. Dies reduziert die Komplexität bei der Mengenprognose. Zu diskutieren ist, ob eine Änderung der POG auch nachträglich für das Jahr 2024 gelten soll.
- Gemäß § 36 MsbG können auch die wettbewerblichen Messstellenbetreiber vom Anschlussnetzbetreiber Entgelte für den Messstellenbetrieb von intelligenten Messsystemen im Rahmen der zulässigen POG verlangen. Bei der Ausformulierung der BNetzA-Festlegung sollte deshalb keine Einengung auf Entgelte der grundzuständigen Messstellenbetreiber erfolgen. 
- Darüber hinaus sieht § 34 Abs. 2 und 3 MsbG Zusatzleistungen vor, die für die Umsetzung der Vorgaben der BNetzA zu steuerbaren Verbrauchseinrichtungen gem. § 14a EnWG durch den Netzbetreiber sowie zur Digitalisierung des Netzbetriebs im Allgemeinen unerlässlich sind. Die Entgelte für diese Zusatzleistung werden dem gleichen Hochlauf unterliegen wie die anteiligen Preisobergrenzen für den Betrieb der intelligenten Messsysteme. Deshalb müssen die betreffenden Zusatzleistungen zumindest für den Zeitraum des initialen Rollouts ebenfalls von den Netzbetreibern als dnbk angesetzt werden können.</t>
  </si>
  <si>
    <t>Im Rahmen des Regulierungskontos (erstmalig ab dem RegK 2024, Antrag zum 31.12.2025) findet der Abgleich zwischen in der EOG enthaltenenen Plankosten und den Ist-Kosten für die Beteiligung an der POG von iMSys des jeweiligen Jahres statt.</t>
  </si>
  <si>
    <t>Bei der Darstellung der Ist-Kosten hat der Netzbetreiber zwischen dem Pflichtrollout nach § 30 Abs. 1 und 2 MsbG und dem optionalen Rollout nach § 30 Abs. 3 MsbG zu unterscheiden. Der Netzbetreiber hat auch die Anzahl der Messstellen anzugeben, bei denen das Messentgelt unter der POG lag. Die Differenz zwischen Plan- und Ist-Kosten für die Beteiligung an der POG von iMSys des jeweiligen Jahres wird auf das Regulierungskonto gebucht und über drei Jahre ausgekehrt (z.B. RegK 2024, Auskehr 2027-2029)</t>
  </si>
  <si>
    <t>Übergangsregelung zur Nachholung des Jahres 2024: Aufgrund des Inkrafttretens der Festlegung im Laufe des Jahres 2024 wird die Beteiligung der Netzbetreiber an der POG von iMSys aus diesem Jahr auf dem RegK 2024 nachgefahren. Die Ist-Kosten aus der Beteiligung des Netzbetreibers an der POG von iMSys aus dem Jahr 2024 werden in voller Höhe auf dem Regulierungskonto 2024 verbucht und über die Jahre 2027-2029 ausgekehrt.</t>
  </si>
  <si>
    <t>Siehe Nr. 5</t>
  </si>
  <si>
    <t>Die Beschlusskammer diskutiert, den Kostenrückgang für konventionelle Messeinrichtungen durch den Einbau von modernen Messeinrichtungen und intelligenten Messsystemen nach § 5 Abs. 1 S. 3 ARegV ab dem Regulierungskonto des Jahres 2024 auf ein Modell mit vorgegebenem Abbaupfad bis zum Ende des Rollouts von modernen Messeinrichtungen im Jahr 2032 umzustellen. Damit könnte auch die Frage nach verbleibenden Restwerten zum Ende des Rolloutpfades im Jahr 2032 aufgelöst werden.</t>
  </si>
  <si>
    <t>Die Ausstattungsverpflichtungen des § 45 Abs. 1 und 2 MsbG sehen vor, dass die Rolloutfristen bei den RLM-Kunden mehrere Jahre nach den SLP-Kunden erfolgen. Darüber hinaus ist im MsbG eine Toleranzschwelle von 5 Prozent der vorhandenen klassischen Zähler vorgesehen, die nicht durch moderne Messeinrichtungen oder intelligente Messysteme ersetzt werden müssen (Stichworte: kommunikative Erreich-barkeit der iMSys und Widerstände der Kunden beim Einbau). Deshalb muss der lineare Abbaupfad auf eine Weise ausgestaltet sein, dass nicht der komplette Abbau der Kosten auf null als Endpunkt angenommen wird, sondern bis auf weiteres mindestens 5 Prozent der Kosten des Jahres 2021 in der EOG verbleiben.</t>
  </si>
  <si>
    <t xml:space="preserve">Beim Kostenabbau muss zwischen SLP- und RLM-Zählern unterschieden werden. Während für die SLP-Zähler der Startpunkt für das Jahr 2021 festgelegt werden kann, sollte der Beginn des Kostenabbaus für die RLM-Zähler erst für das Jahr 2025 unter-stellt werden. Die Aufteilung des Kostenblocks für das Messwesen zwischen SLP- und RLM-Kunden kann vereinfacht aus den Kosten aus dem Jahr 2021 abgeleitet werden. Die Anzahl der Zähler in der jeweiligen Kundengruppe wird mit dem dazugehörigen vereinnahmten Messentgelt multipliziert. Das Verhältnis des SLP- und RLM-Wertes wird für die Aufteilung der Kosten aus dem Jahr 2021 genutzt. </t>
  </si>
  <si>
    <t>Siehe Nr. 11</t>
  </si>
  <si>
    <t>Die Planmenge ergibt sich als Summe aus dem Endbestand an iMSys aus dem der Anpassung der EOG um
zwei Jahre vorausgehenden Jahr (t-2) und dem Dreifachen des Zuwachses an iMSys im ersten Halbjahr des
der Anpassung der EOG vorausgehenden Jahres (t-1). Die dreifache Berücksichtigung des Zuwachses an
iMSys im ersten Halbjahr dient dazu, den voranschreitenden Rollout mit den aktuellsten Ist-Mengen zu
prognostizieren. Damit werden der erwartete Zuwachs des der Anpassung der EOG vorausgehenden
Jahres (t-1) sowie des Jahres berücksichtigt auf das sich die Anpassung der EOG bezieht.</t>
  </si>
  <si>
    <t>Insbesondere in der Phase des Hochlaufs des sehr dynamischen verlaufenden Rollouts soll es in begründeten Fällen möglich sein, von der formelgestützten Ermittlung des Planansatzes abzuweichen.</t>
  </si>
  <si>
    <t>Hier wünschen wir uns eine Klarstellung, ob damit die Kosten im Basisjahr 2021 gemeint sind, die dann ab der 4. RP wirken und bis 2032 linear abgeschrieben werden.</t>
  </si>
  <si>
    <t>Zum Umgang mit etwaigen Sonderabschreibungen für Zähler, die im Jahr 2032 noch nicht vollständig abgeschrieben sind (lineare Absenkung des 2032-er Restwertes) wäre eine Klarstellung hilfreich, dass damit die kalkulatorische Sicht gemeint ist.</t>
  </si>
  <si>
    <t>Die Beschlusskammer diskutiert, den Kostenrückgang für konventionelle Messeinrichtungen durch den Einbau von modernen Messeinrichtungen und intelligenten Messsystemen nach § 5 Abs. 1 S. 3 ARegV ab dem Regulierungsko nto des Jahres 2024 auf ein Modell mit vorgegebenem Abbaupfad bis zum Ende des Rollouts von modernen Messeinrichtungen im Jahr 2032 umzustellen.</t>
  </si>
  <si>
    <t>Auch hier wäre die Klarstellung wünschenswert, dass die Kosten für RLM-Messungen erst ab 2028 ff linear abgeschrieben werden dürfen.</t>
  </si>
  <si>
    <t xml:space="preserve">Bei RLM-Messungen besteht die Besonderheit, dass diese gemäß GNDEW erst ab 2028 umgebaut werden. Diese Messungen haben jedoch hohe Kosten im konventionellen MSB, die erst ab 2028ff reduziert werden. </t>
  </si>
  <si>
    <t>Es muss daher eine Möglichkeit geben, diese Kosten bis Ende 2032 zu erlösen bzw. über eine Sonderabschreibung kalkulatorisch in der EOG zu berücksichtigen.</t>
  </si>
  <si>
    <t>RLM-Messungen werden gemäß GNDEW erst ab 2028 umgebaut. Diese Messungen haben jedoch hohe Kosten im konv. MSB, die erst ab 2028ff reduziert werden.</t>
  </si>
  <si>
    <t>Die Plankosten ergeben sich den Planmengen für iMSys für das Jahr dessen Erlösobergrenze angepassst werden soll…</t>
  </si>
  <si>
    <t>Klarstellung sind wirklich nur iMSys betroffen oder auch moderne Messeinrichtungen (mME)?</t>
  </si>
  <si>
    <t>Redaktionelle Überarbeitung/Klarstellung nötig, da auch mME nicht in der Erlösobergrenze der VNBs enthalten ist.</t>
  </si>
  <si>
    <t>80 Euro</t>
  </si>
  <si>
    <t>bitte um Klarstellung Brutto oder Netto-Betrag?</t>
  </si>
  <si>
    <t>Erbitten redationelle Überarbeitung, ob es sich bei den erwähnten 80 € um einen Brutto- oder Nettobetrag handelt.</t>
  </si>
  <si>
    <t>Umgang der Kosten bei Netzübergängen</t>
  </si>
  <si>
    <t>Dies sollte in der Festlegung geregelt werden. Bei Gebietsabgaben ist dem abgebenden Netzbetreiber die Anzahl der Zähler bekannt. Wie alle anderen Wirtschaftsgüter sollte der aufnehmende Netzbetreiber die Anzahl der Zähler zu deren Restbuchwerten in dessen Anlagevermögen übernehmen dürfen.</t>
  </si>
  <si>
    <t>Ein Ausgleich der wirtschafttlichen Effekte im Zuge einer Gebietsabgabe bürgt Streitpotential. Der abgebene Netznetzbetreiber hat keine Zähler mehr aktiviert in den Büchern stehen, die ihm nicht gehören und der aufnehmende Netzbetreiber hat ebenfalls eine korrekte Anlagenbuchhaltung. Zudem sind künftige Auswertungen über  die IST-Zahlen im Netz ohne Mehraufwand (herausrechnen von Zählern) möglich.</t>
  </si>
  <si>
    <t>Remanente Kosten</t>
  </si>
  <si>
    <t>Defintion der Höhe der remanten Kosten</t>
  </si>
  <si>
    <t>Neben dem linearen Abbaupfad wäre eine Definition über die remanten Kosten sinnvoll, um Planungssicherheit zu bekommen. Vorschlag: 1/3 der Kosten des konv. MSB bleiben als remanten Kosten stehen.</t>
  </si>
  <si>
    <t>Im Rahmen des Regulierungskonto (erstmalig ab dem RegK 2024, Antrag zum 31.12.2025) findet der Abgleich zwischen in der EOG enthaltenenen Plankosten und den Ist-Kosten für die Beteiligung an der POG von iMSys des jeweiligen Jahres statt.</t>
  </si>
  <si>
    <t>Siehe G9</t>
  </si>
  <si>
    <t>Siehe G15</t>
  </si>
  <si>
    <t xml:space="preserve">Die Formulierung "anteilige POG" ist zu ungenau formuliert. Damit könnte nur ein Teil der POG für den Anschlussnetzbetreiber gemeint sein, was nicht der Fall ist. Daher ist hier ein genauer Bezug der POG auf den Anteil der Anschlussnetzbetreibers herzustellen. </t>
  </si>
  <si>
    <t>Im Eckpunktepapier wird die POG mit einer maximalen Höhe von 80 € definiert, was dem aktuellen MsbG entspricht. Bei der finalen Formulierung sollte hier jedoch auf die jeweils gültige höchste POG aus dem MsbG verwiesen werden. Denn nach § 48 Abs. 1 Nr. 3 MsbG muss das BMWK eine Kosten-Nutzen-Analyse für die POG vorlegen (erstmals zum 30.06.2024) und entsprechend können künftig andere und auch höhere POG festgelegt werden. Zusätzlich sollte aus Vereinfachungs- und Praktikabilitätsgründen der Ansatz verfolgt werden, dass für den Planansatz immer die höchste POG für alle Einbaufälle (aktuell 80 €) angesetzt werden kann. Die Differenz bei den Einbaufällen, bei denen die POG tatsächlich unter 80 € liegt, kann dann über das Regulierungskonto korrigiert werden. Dies reduziert die Komplexität bei der Mengenprognose. Zu diskutieren ist, ob eine Änderung der POG auch nachträglich für das Jahr 2024 gelten soll.</t>
  </si>
  <si>
    <t>Die Ausstattungsverpflichtungen des § 45 Abs. 1 und 2 MsbG sehen vor, dass die Rolloutfristen bei den RLM-Kunden mehrere Jahre hinter denen der SLP-Kunden liegen. Darüber hinaus ist im MsbG eine Toleranzschwelle von 5 Prozent der vorhandenen klassischen Zähler vorgesehen, die nicht durch moderne Messeinrichtungen oder intelligente Messysteme ersetzt werden müssen (Stichworte kommunikative Erreichbarkeit der iMSys und Widerstände der Kunden beim Einbau). Deshalb sollte der lineare Abbaupfad auf eine Weise ausgestaltet sein, dass nicht der komplette Abbau der Kosten auf null als Endpunkt angenommen wird, sondern bis auf weiteres mindestens 5 Prozent der Kosten des Jahres 2021 in der EOG verbleiben.</t>
  </si>
  <si>
    <t xml:space="preserve">Die Form des Abbaupfads, vorgeschlagen wird ein linearer Abbaupfad. </t>
  </si>
  <si>
    <t>Beim Kostenabbau muss zwischen SLP- und RLM-Zählern unterschieden werden: Während für die SLP-Zähler der Startpunkt auf das Jahr 2021 festgelegt werden kann, sollte der Beginn des Kostenabbaus für die RLM-Zähler erst im Jahr 2025 unterstellt werden. Die Aufteilung des Kostenblocks für das Messwesen zwischen SLP- und RLM-Kunden kann vereinfachend aus den Kosten des Jahres 2021 abgeleitet werden, indem sie in Relation der vereinnahmten Entgelte für den Messstellenbetrieb der Kundengruppen SLP und RLM vorgenommen wird.</t>
  </si>
  <si>
    <t>Nach dem zur Konsultation gestellten Eckpunktepapier sollen die unserem Unternehmen nach § 3 Abs. 1 i.V.m. § 7 MsbG entstehenden Kosten für die Ausstattung von Letztverbrauchern mit intelligenten Messsystemen (sog. anteilige Preisobergrenze) ab dem Jahr 2025 in voller Höhe als dauerhaft nicht beeinflussbare Kostenanteile eingestuft werden.
Grundsätzlich ist das von Ihrer Behörde insoweit beabsichtigte Vorgehen nach unserer Auffassung zwar zu begrüßen, da hierdurch ab dem Jahr 2025 eine jährliche Abbildung dieser zusätzlichen Kosten während der laufenden 4. Regulierungsperiode durch unser Unternehmen ermöglicht wird. Allerdings sind die von Ihnen beabsichtigten Vorgaben zur Ermittlung der ansatzfähigen Plankosten kritisch zu hinterfragen.
Ausweislich des Eckpunktepapiers sollen zur Ermittlung der ansatzfähigen Plankosten die Planmengen für die intelligenten Messsysteme (iMSys) im betreffenden Jahr mit den anteiligen Preisobergrenzen multipliziert werden. Die hiernach heranzuziehenden Planmengen sollen wiederum durch Summierung der aus dem Endbestand an iMSys aus dem der Anpassung der Erlösobergrenze um zwei Jahre vorausgehenden Jahr (t-2) und dem Dreifachen des Zuwachses an iMSys im ersten Halbjahr der Anpassung der Erlösobergrenze des vorausgehenden Jahres (t-1) zu ermitteln sein. Dieser starre und pauschale Regelungsvorschlag trägt dem Umstand, dass das Messstellenbetriebsgesetz in § 45 verbindliche Ziele und einen konkreten Zeitrahmen für die Einführung von iMSys vorsieht, nicht in angemessener Weise Rechnung. Es bedarf daher einer Flexibilisierung der anzusetzenden Mengen; beim Vorliegen von gesicherten Erkenntnissen muss dem Netzbetreiber ermöglicht werden, von dem pauschalen Planmengenansatz abzuweichen.</t>
  </si>
  <si>
    <t>Wir halten das von der BNetzA vorgeschlagene Modell zur Abbildung des Kostenrückgangs für konventionelle Messseinrichtungen durch den Einbau von mME und iMSys im Regulierungskonto grundsätzlich für nachvollziehbar. Hinsichtlich des Endpunktes des vorgeschlagenen linearen Abbaupfades weisen wir jedoch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bis Ende des Jahres 2032 nicht vollständig entfallen und entsprechend auch nach Ende des Jahres 2032 noch operative Kosten anfallen werden.</t>
  </si>
  <si>
    <t>Die Beschlusskammer möchte dabei zur Diskussion stellen: [….] - Einen etwaigen Sockelbetrag (remanente Kosten), der erst ab dem Jahr 2023 vollständig entfällt.</t>
  </si>
  <si>
    <t>Der Abbaupfad der operativen Kosten sollte einen Sockelbetrag für remanente Kosten in Höhe von (mindestens) 25% berücksichtigen.</t>
  </si>
  <si>
    <t>Die Gründe, die zur Berücksichtigung eines Sockelbetrages für remanente Kosten im Regulierungskonto der 3. Regulierungsperiode geführt haben, bestehen weiterhin. Remanenzkosten entstehen unter anderem aus der IT-Systembereistellung, der Zählerfernauslesung, der Vorhaltung mengenunabhängiger betrieblicher Prozesse und weiteren (sprung-)fixen Kosten.</t>
  </si>
  <si>
    <t>Bei gesicherten Erkenntnissen hinsichtlich der im betreffenden Jahr eingebauten Mengen für die intelligenten Messsysteme sollte es den Verteilernetzbetreibern ermöglicht werden, von dem vorgesehenen pauschalen Ansatz abzuweichen. Vor allem in den ersten beiden Umsetzungsjahren 2025 und 2026 sollte aufgrund der Hochlaufphase eine abweichende Planmenge ermöglich werden. Jedenfalls sollte der gesetzlich vorgesehene (Mindest-)Rollout-Fahrplan (vgl. § 45 MsbG) bei der Ermittlung der ansatzfähigen Kosten abgebildet werden können.</t>
  </si>
  <si>
    <t>Nach dem zur Konsultation gestellten Eckpunktepapier sollen die unserem Unternehmen nach § 3 Abs. 1 i.V.m. § 7 MsbG entstehenden Kosten für die Ausstattung von Letztverbrauchern mit intelligenten Messsystemen (sog. anteilige Preisobergrenze) ab dem Jahr 2025 in voller Höhe als dauerhaft nicht beeinflussbare Kostenanteile eingestuft werden.
Grundsätzlich ist das von Ihrer Behörde insoweit beabsichtigte Vorgehen nach unserer Auffassung zwar zu begrüßen, da hierdurch ab dem Jahr 2025 eine jährliche Abbildung dieser zusätzlichen Kosten während der laufenden 4. Regulierungsperiode durch unser Unternehmen ermöglicht wird. 
Allerdings sind die von Ihnen beabsichtigten Vorgaben zur Ermittlung der ansatzfähigen Plankosten kritisch zu hinterfragen.
Ausweislich des Eckpunktepapiers sollen zur Ermittlung der ansatzfähigen Plankosten die Planmengen für die intelligenten Messsysteme (iMSys) im betreffenden Jahr mit den anteiligen Preisobergrenzen multipliziert werden. Die hiernach heranzuziehenden Planmengen sollen wiederum durch Summierung der aus dem Endbestand an iMSys aus dem der Anpassung der Erlösobergrenze um zwei Jahre vorausgehenden Jahr (t-2) und dem Dreifachen des Zuwachses an iMSys im ersten Halbjahr der Anpassung der Erlösobergrenze des vorausgehenden Jahres (t-1) zu ermitteln sein. Dieser starre und pauschale Regelungsvorschlag trägt dem Umstand, dass das Messstellenbetriebsgesetz in § 45 verbindliche Ziele und einen konkreten Zeitrahmen für die Einführung von iMSys vorsieht, nicht in angemessener Weise Rechnung. Es bedarf daher einer Flexibilisierung der anzusetzenden Mengen; beim Vorliegen von gesicherten Erkenntnissen muss dem Netzbetreiber ermöglicht werden, von dem pauschalen Planmengenansatz abzuweichen. Die ist mit Hinblick auf das Risiko des hohen Vorfinanzierungsvolumen essentiell.</t>
  </si>
  <si>
    <t>Es ist sinnvoll und praktikabel, als Aufsatzpunkt das Jahr 2021 (Basisjahr der vierten Regulierungsperiode) heranzuziehen. In den nachfolgenden Regulierungsperioden wären demnach die anerkannten Kosten des Basisjahres 2021 (sowie des VPI und des GSP) fixiert und würden keine weitere Rolle bei den Kostenprüfungen spielen. Der Endpunkt des linearen Abbaupfades sollte von einer Ausstattungsverpflichtung von modernen Messeinrichtungen (mME) und iMSys i.H.v. 95 % ausgehen. Ein etwaiger Sockelbetrag würde somit die remanenten Kosten, wie auch die restlichen 5% beinhalten. Eventuell ist eine Limitierung des Preises für die immer kleiner werdende Anzahl an konventionellen Messgeräten zu erwägen. Vor allem zum Ende des Rollouts könnten so die steigenden MSB Entgelte verhindert werden. Im gleichem Zuge müsste die Möglichkeit geschaffen werden die entstanden Mindererlöse beim Netzbetreiber über die Netznutzungsentgelte zu erwirtschaften.</t>
  </si>
  <si>
    <t>Im übrigen schließen wir uns den Stellungnahmen des Bundesverbandes der Energie- und Wasserwirtschaft e.V. und des Verbandes kommunaler Unternehmen e.V. an.</t>
  </si>
  <si>
    <t xml:space="preserve"> - Berücksichtigung von RLM- und SLP Kunden im linearen Kostenabbaupfad
 - Klarstellung wie genau der Absenkungspfad unter Berücksichtigung von Aufsatzpunkt, SLP- und RLM Kunden und Remanenzkosten ausgestaltet werden soll</t>
  </si>
  <si>
    <t>Die Beschlusskammer 8 der Bundesnetzagentur hat unter dem Aktenzeichen BK8-23/007-A am 14. Dezember 2023 Eckpunkte für die Festlegung der Kosten des Messwesens veröffentlicht. Hintergrund ist die Novelle zum Neustart der Digitalisierung der Energiewende vom 26. Mai 2023, die unter anderem mit Änderungen des Messstellenbetriebsgesetzes einherging. Ziel der Novelle ist es, die erforderliche digitale Infrastruktur für ein weitgehend klimaneutrales Energiesystem zu etablieren. Insbesondere umfasst das aktualisierte Messstellenbetriebsgesetz eine neue Kostenregelung für Stromnetzbetreiber. Ab dem Jahr 2024 wird künftig ein signifikanter Teil der Kosten für ein intelligentes Messsystem von den Stromnetzbetreibern des jeweiligen Anschlusses getragen. Gemäß des veröffentlichten Eckpunktepapiers beabsichtigt die Beschlusskammer 8 nun zeitnah Regelungen zu deren Kostenanerkennung innerhalb der Anreizregulierung zu treffen. Darüber hinaus umfasst die Festlegung auch Vorschläge zur regulatorischen Anpassung der Erlösobergrenze für den aufgrund des Ausbaus konventioneller Messsysteme zu erwartenden Kostenrückgang bei den Netzbetreibern. 
Für den Ausbau konventioneller Messstellen schlägt die Bundesnetzagentur einen fest vorgegebenen linearen Abbaupfad für die Absenkung der operativen Kosten in der Erlösobergrenze vor. Aus den vorgeschlagenen Eckpunkten geht jedoch nicht eindeutig hervor, wie die Behörde den Absenkungspfad ausgestalten möchte. Eine abschließende Bewertung ist daher zum gegenwärtigen Zeitpunkt nicht möglich. Die konkrete Ausgestaltung des Abbaupfades (Aufsatzpunkt, Berücksichtigung lastganggemessener Kunden, Remanenzkosten) sollte in einer zweiten Konsultationsphase ausführlich erörtert werden.</t>
  </si>
  <si>
    <t>Abschnitt Plankosten im Rahmen der Anpassung der Erlösobergrenze</t>
  </si>
  <si>
    <t xml:space="preserve"> - Vorfinanzierung beachten</t>
  </si>
  <si>
    <t>Die Stromnetzbetreiber können bis zum 31. Januar 2024 Stellung nehmen. Gerne nehmen wir diese Möglichkeit wahr. Grundsätzlich begrüßen wir es, dass die Beschlusskammer 8 nun zeitnah eine Festlegung zur Anerkennung der zusätzlich von den Netzbetreibern zu tragenden Kosten für die intelligenten Messsysteme zu treffen beabsichtigt.</t>
  </si>
  <si>
    <t>Abschnitt Ist-Abgleich im Regulierungskonto</t>
  </si>
  <si>
    <t>Keine</t>
  </si>
  <si>
    <t>Die Eckpunkte sehen weiter vor, den Abgleich von Planansätzen und Ist-Kosten über das Regulierungskonto vorzunehmen. Der Abgleich über das Regulierungskonto ist sachgerecht und notwendig, um die Zusatzkosten des Rollouts intelligenter Messsysteme beim Netzbetreiber vollständig zu erstatten.</t>
  </si>
  <si>
    <t>Abschnitt Vereinheitlichung des Abbaus der Kosten aus dem konventionellen Messstellenbetrieb im Regulierungskonto</t>
  </si>
  <si>
    <t xml:space="preserve"> - Entfall der weiteren Prüfung der Ist-Kosten für konventionelle Messtechnik über das Regulierungskonto</t>
  </si>
  <si>
    <t xml:space="preserve">Parallel zum Rollout intelligenter Messsysteme und moderner Messeinrichtungen werden konventionelle Zähler beim Netzbetreiber ausgebaut. Hierdurch entfallen variable Kosten für konventionelle Zähltechnik. Die Bundesnetzagentur beabsichtigt die Abschmelzung der Erlösobergrenze aufgrund der entfallenden Kosten für den konventionellen Messstellenbetrieb zeitgleich mit der Kostenanerkennung für intelligente Messsysteme zu regeln.
Die Beschlusskammer 8 stellt in ihrem Eckpunktepapier diesbezüglich zur Diskussion, die Erlösobergrenzen der Netzbetreiber gemäß einem vorgegebenen linear verlaufenden Abbaupfad abzusenken. Aufsatzpunkt für diesen Abbaupfad sollen die in der Erlösobergrenze des Jahres 2021 enthaltenen Kosten für konventionellen Messstellenbetrieb sein. Diese Kosten sollen der Verprobungsrechnung des Jahres 2021 entnommen werden, die dann um die Kapitalkosten reduziert werden. Der fest vorgegebene lineare Abbaupfad für die Erlösobergrenze bezieht sich somit nur auf den OPEX-Anteil der Kosten für den konventionellen Messstellenbetrieb. 
Mit Start der Berücksichtigung des vorgegebenen Abbaupfades für die Erlösobergrenze entfiele nach unserem Verständnis der vorgelegten Eckpunkte eine weitere Prüfung der Ist-Kosten für konventionelle Messtechnik über das Regulierungskonto. Nach Auffassung der Netze BW stellt dies einen einfachen, praktikablen und Verwaltungsaufwand reduzierenden Ansatz dar, der eine zusätzliche Anreizwirkung für die Beschleunigung des Rollouts intelligenter Messsysteme entfaltet. In Bezug auf die konkrete Ausgestaltung des Abbaupfades sind jedoch nach unserer Auffassung die im Folgenden aufgeführten Aspekte zu berücksichtigen. </t>
  </si>
  <si>
    <t xml:space="preserve"> - Klarstellung was mit dem Aufsatzpunkt für die in der Erlösobergrenze enthaltenen Kosten aus konventionellem Messstellenbetrieb genau gemeint ist und wie OPEX/CAPEX aus der Verprobungsrechnung ermittelt werden sollen
 - Abbaupfad müsste auf der grundlage der Kosten des Jahres 2024 aufsetzen</t>
  </si>
  <si>
    <t xml:space="preserve">In den Eckpunkten wird leider nicht ausreichend deutlich ausgeführt, wie die Beschlusskammer in Bezug auf den vorgegebenen Abbaupfad für die Erlösobergrenze vorzugehen beabsichtigt. Dies gilt insbesondere für die Frage, was mit dem Aufsatzpunkt für die in der Erlösobergrenze enthaltenen Kosten aus konventionellem Messstellenbetrieb genau gemeint ist und wie die OPEX/CAPEX aus der Verprobungsrechnung ermittelt werden sollen.
Wir gehen von folgendem Verständnis aus: Die in der Erlösobergrenze des Jahres 2021 enthaltenen Kosten (OPEX-Anteil) in Höhe von X Euro sollen ab dem Jahr 2024 linear bis 2032 in der Erlösobergrenze abgeschmolzen werden. Das bedeutet die Erlösobergrenze würde jedes Jahr um ein weiteres Neuntel des Betrages X reduziert werden; im Jahr 2033 wären keinerlei OPEX für konventionelle Messsysteme mehr in der Erlösobergrenze enthalten. Es findet kein Abgleich von Ist-Kosten und in den Erlösobergrenze enthaltenen Kosten für konventionellen Messbetrieb statt. Weder über das Regulierungskonto noch im Rahmen der Kostenprüfung für weitere Regulierungsperioden.
Das Aufsetzen auf den Kosten des Jahres 2021 (und dem dort verprobten Bestand an konventionellen Zählern) führt jedoch zu einem Abbaupfad mit zu ambitionierten Senkungsvorgaben für die Erlösobergrenze ab 2024, da die in den Jahren 2022 und 2023 bereits ausgebauten konventionellen Zähler weiterhin im Abbaupfad enthalten wären. Aus Sicht der Netze BW müsste der Abbaupfad auf der Grundlage der Kosten des Jahres 2024 aufsetzen. Diese könnten analog der im Eckpunktepapier vorgeschlagenen Vorgehensweise für 2021 auf der Grundlage der Verprobungsrechnung für das Jahr 2024 entnommen werden.        </t>
  </si>
  <si>
    <t xml:space="preserve"> - Berücksichtigung der Kosteneffekte von RLM- und SLP Kunden im linearen Kostenabbaupfad
</t>
  </si>
  <si>
    <t xml:space="preserve">Der im Eckpunktepapier vorgeschlagene lineare Abbaupfad unterscheidet nicht zwischen unterschiedlichen Kundengruppen und den durch verschiedene Kundengruppen verursachten unterschiedlichen Kosten. So verursachen lastganggemessene Kunden deutlich höhere Kosten als SLP-Kunden. Der gesetzlich verpflichtende Rollout intelligenter Messsysteme für Zählpunkte mit einem Jahresstromverbrauch von über 100.000 Kilowattstunden und Zählpunkten von Anlagen mit einer installierten Leistung über 100 Kilowatt beginnt gemäß §45 Abs. 1 Nr. 1 MsbG erst ab dem Jahr 2028. Dementsprechend planen viele Netzbetreiber zunächst prioritär den Rollout bei den SLP-Kunden. Der tatsächliche Kostenabbau wird aufgrund dieses Sachverhaltes in den Jahren bis 2027 also geringer ausfallen als im linearen Abbaupfad angenommen.
Um einen zu ambitionierten Abbaupfad für die Erlösobergrenze zu vermeiden, könnten wie in Abbildung 1 dargestellt in den Anfangsjahren bis 2027 geringere Senkungsvorgaben gemacht werden, in den Jahren ab 2028 würden die Senkungsvorgaben entsprechend höher ausfallen. Durch den weniger steil verlaufenden Senkungspfad bis 2027 würde dem zunächst höheren Rückgang der konventionellen Zähler bei den SLP-Kunden bis zum Jahr 2028 Rechnung tragen. Ab dem Jahr 2028 führt der zunehmende Ausbau bei den RLM-Kunden zu einem stärkeren Kostenabbau pro Jahr und würde den Senkungsvorgaben für die Erlösobergrenze entsprechen. </t>
  </si>
  <si>
    <t xml:space="preserve"> - Die jährlich durch Zählerausbau entstehenden Vermögenswerte, die nicht vollständig zurückverdient werden, sollen durch Sonderabschreibungen in der EOG des jeweiligen Betrachtungsjahres berücksichtigt werden</t>
  </si>
  <si>
    <t>Im Eckpunktepapier der Bundesnetzagentur wird auch ein Vorschlag für den Umgang mit noch nicht vollständig abgeschriebenen konventionellen Messeinrichtungen zur Diskussion gestellt. Vorgeschlagen wird den im Jahr 2032 festgestellten Restwert der konventionellen Messeinrichtungen linear abzusenken. Erneut ist jedoch nicht klar, wie dieser Punkt zu verstehen ist.
Dieser Vorschlag scheint davon auszugehen, dass erst im Jahr 2032 ein verbleibender noch nicht zurück verdienter Restwert bei konventionellen Zählern auftritt. Dies ist jedoch nichtzutreffend.  Vielmehr kann es während der gesamten Rolloutphase zu Zählerausbauten kommen, die noch positive Restwerte ausweisen. Eine Option für die regulatorische Kostenerstattung der vor Ende ihres Abschreibungszeitraums ausgebauten konventionellen Zähler bestünde darin, diese regulatorisch fiktiv in der Verzinsungsbasis weiterzuführen und bis zum Ende ihrer Nutzungsdauer vollständig abzuschreiben. Bei diesem Vorgehen würden die verbleibenden Restbuchwerte regulatorisch weiterhin verzinst.  
Wir schlagen alternativ vor, die jährlich durch Zählerausbau entstehenden, nicht vollständig zurückverdienten Vermögenswerte durch Sonderabschreibungen in der Erlösobergrenze des jeweiligen Betrachtungsjahres zu berücksichtigen. Dies ermöglicht eine gleichmäßige Verteilung der Abschreibungskosten während der gesamten Rolloutphase und würde dazu führen, dass alle konventionellen Zähler im Jahr 2032 vollständig abgeschrieben wären.  
Sofern dem in den Eckpunkten der Bundesnetzagentur nur rudimentär beschriebenen Vorschlag jedoch die Vorstellung zugrunde liegt, man könne die nicht verdienten Restbuchwerte über die Jahre kumulieren und dann die kumulierten Werte über mehrere Jahre verteilt in der Erlösobergrenze nach 2032 berücksichtigen, ist jedoch zu berücksichtigen, dass noch nicht über Abschreibungen zurückverdiente Restbuchwerte weiterhin verzinst werden müssen, solange sie nicht vollständig regulatorisch erstattet wurden. 
Sofern nach 2032 noch verbleibende Restbuchwerte für konventionelle Zähler vorhanden sind, die dann über die Erlösobergrenze der kommenden Jahre regulatorisch zurückerstattet werden, ist außerdem zu beachten, dass diese Kosten über die allgemeinen Netzentgelte gewälzt werden müssen.</t>
  </si>
  <si>
    <t xml:space="preserve"> - Remanenzkostenanteil wie bisher auf 25% der operativen Kosten festlegen</t>
  </si>
  <si>
    <t>Der Vorschlag der Beschlusskammer 8 sieht es unserem Verständnis nach vor, dass für den linearen Abbaupfad nur die „operativen Kosten“ über den Zeitraum abgebaut werden. Die auf Grundlage der Verprobung ermittelten Kosten aus konventionellem Messtellenbetrieb werden hierzu um den Kapitalkostenanteil des Netzbetreibers korrigiert. Bei der Festlegung des Abbaupfades für die Erlösobergrenze sind analog dazu auch etwaige Remanenzkosten in Abzug zu bringen. Netze BW schlägt vor, den Remanenzkostenanteil wie bisher auf 25% der operativen Kosten festzulegen.</t>
  </si>
  <si>
    <t>Jedes Intelligente Messsystem wird bei der Anpassung der EOG in Höhe der tatsächlich vom Netzbetreiber zu tragenden Kosten höchstens jedoch in Höhe der maximalen Beteiligung an der POG von 80 € berücksichtigt.</t>
  </si>
  <si>
    <t>Jedes Intelligente Messsystem wird bei der Anpassung der EOG in Höhe der tatsächlich vom Netzbetreiber zu tragenden Kosten höchstens jedoch in Höhe der maximalen Beteiligung an der POG berücksichtigt.</t>
  </si>
  <si>
    <t>Die Festlegung der Beschlusskammer sollte so formuliert werden, dass sie unabhängig von der Höhe der jeweils geltenden Preisobergrenzen anzuwenden ist, ohne dass eine Neufestlegung notwendig wird.</t>
  </si>
  <si>
    <t>// Ergänzung</t>
  </si>
  <si>
    <t>Die Regelung, mit denen Netzbetreiber die ihnen von Messstellenbetreibern weitergereichten Kosten in ihre Erlösobergrenzen überführen können, gilt unabhängig davon, ob die Kostenbelastung durch grundzuständige oder durch wettbewerbliche Messstellenbetreiber erfolgt.</t>
  </si>
  <si>
    <t xml:space="preserve">Für die festzulegende EOG-Regulierung ist es irrelevant, ob die Kostenbelastung beim NB durch einen gMSB oder einen wMSB verursacht wird. Eine entsprechende Klarstellung in der Festlegung wäre dementsprechend wünschenswert. </t>
  </si>
  <si>
    <t>Ab dem Jahr 2033 ergeben sich entsprechend der Ausstattungsverpflichtungen von Messstellen mit mME nach § 29 Abs. 3 MsbG keine Kosten aus dem konvestionellen Messstellenbetrieb beim Netzbetreiber mehr.</t>
  </si>
  <si>
    <t>Ab dem Jahr 2033 ergeben sich entsprechend der Ausstattungsverpflichtungen von Messstellen mit mME nach § 29 Abs. 3 MsbG grundsätzlich keine Kosten aus dem konvestionellen Messstellenbetrieb beim Netzbetreiber mehr.</t>
  </si>
  <si>
    <t xml:space="preserve">Paragraph 45 MsbG sieht vor, dass lediglich 95% der modernen Messgeräte und intelligenten Messsysteme innerhalb von zehn Jahren ausgerollt sein müssen. Deshalb sollte der Abbaupfad nach zehn Jahren nicht bei null enden. </t>
  </si>
  <si>
    <t>Die Form des Abbaupfads, vorgeschlagen wird ein linearer Abbaupfad. Basis des Ablaufpfades bilden die Kosten des konventionellen Messstellenbetriebes des Jahres 2023. Die Basis des weiteren Ablaufpfades wird im Zuge der kommenden Basisjahrprüfungen erneut aktualsiert.</t>
  </si>
  <si>
    <t>Paragraph 45 MsbG sieht vor, dass lediglich 95% der modernen Messgeräte und intelligenten Messsysteme innerhalb von zehn Jahren ausgerollt sein müssen. Deshalb sollte der Abbaupfad nach zehn Jahren nicht bei null enden. Unklar ist derzeit, welche Basis für den Ablaufpfad dient. Das letzte Basisjahr 2021 ist ungeeignet für den Ablaufpfad, da sich die Kosten für den konventionellen Messtellenbetrieb durch Wechsel von kMe auf mMe signifikant bei den Capex/ Opex geändert haben kann. Transparenter und nachvollziehbarer wäre eine ermittlung der kMe Aufwendungen auf Basis des JA 2023. In der nächsten Basisjahrprüfung 2026 wäre dann auf die tatsächlichen Aufwendungen anzusetzen.</t>
  </si>
  <si>
    <t xml:space="preserve">Die Preise für den konventionellen Messstellenbetrieb inklusive Messung werden prinzipiell nach oben limitiert. Der Anstieg der spezifischen Kosten im konventionellen Messgeschäft infolge des zunehmenden Rollouts von POG-regulierten Messgeräten kann durch die Netzbetreiber weiter über seine Erlösobergrenze vereinnahmt werden. Dies geschieht aber nicht mittels steigender Entgelte im konventionellen Messgeschäft, sondern mittels Sozialisierung über die Netznutzungsentgelte. </t>
  </si>
  <si>
    <t>Mit Beginn der vierten Regulierungsperiode und der Umstellung der Regulierungspraxis können sich in Folge des Rollouts von POG-Messgeräten im Zeitverlauf prinzipiell steigende Preise für die Nutzer von konventionellen Messgeräten ergeben. Die Preise reflektieren steigende spezifische Kosten für konventionelle Messgeräte je Netznutzer. Der Anstieg ist darauf zurückzuführen, dass die Kapitalkosten nicht vom Abbaupfad umfasst sind und die Entgelte damit stets nur auf die 2021er Kapitalkosten unter Berücksichtigung der Kapitalkostenabzüge innerhalb der vierten Regulierungsperiode referenzieren. Diese Kosten spiegeln somit einen beschleunigten Rollout und die damit eigentlich einhergehenden schneller sinkenden Restbuchwerte für konventionelle Messgeräte nicht wider. Zusätzlich erfolgt die Verteilung der unter Berücksichtigung des Abbaupfads im Fall eines beschleunigten Rollouts verbleibenden operativen Betriebsaufwendungen, die zum Teil ebenfalls einen sprungfixen Charakter aufweisen können, auf eine immer geringer werdende Menge an Netznutzern mit konventionellen Messgeräten.  Je mehr es dem Netzbetreiber gelingt, den Rollout von POG-Messgeräten zu beschleunigen, desto höher werden die spezifischen operativen Kosten für den konventionellen Messstellenbetrieb je verbleibenden relevanten Netznutzer. Überdies wird der Netzbetreiber am Ende des Rollouts vermutlich einen höheren Anteil der spezifisch teureren RLM-Zähler in seinem Zählerbestand haben, da der Rollout für die Messlokationen mit RLM-Zählern später beginnt als der für die Messlokationen mit SLP-Zählern. Es ist absehbar, dass der Preis einiger Netzbetreiber für ein modernes Messgerät bald unterhalb des Preises für einen konventionellen Ferraris-Zähler liegen dürfte. Den Austausch der konventionellen Messgeräte weitergedacht, droht eine Situation, innerhalb derer die letzten Netzkunden mit konventionellen Messgeräten hierfür exorbitante Entgelte zu entrichten hätten. Der letzte Netzkunde mit einem konventionellen Messgerät müsste sämtliche dem Netzbetreiber nach der Regulierungspraxis für Kapitalkosten und nach dem vorgesehenen Abbaupfad für operative Betriebsaufwendungen noch zustehenden Erlöse bezahlen.</t>
  </si>
  <si>
    <t>Kosten des Netzebtreibers, die durch gesetzliche oder behördliche Vorgaben zusätzlich durch den Netzbetreiber zu tragen sind, sind ebenfalls in der jährliochen Anpassung entsprechend den Ansätzen zum Rollout zu berücksichtigen.</t>
  </si>
  <si>
    <t>Ein wie auch immer gearteter Zeitverzug für die Berücksichtigung dieser möglichen zusätzlichen Kosten mit dem aktuellen Zeitverzug von bis zu 7 Jahren benötigt eine Berücksichtigung</t>
  </si>
  <si>
    <t>Die beabsichtigte Festlegung sollte im Prozess "NEST" als dnbK-Regelung nicht infrage gestellt werden.</t>
  </si>
  <si>
    <t>Mit Blick auf Verlässlichkeit von Regulierung sowie auf die intendierte Beschleunigung des POG-Rollouts kritisiert der VKU, dass die im vorliegenden Eckpunktepapier angestrebte Regelung im Rahmen der dauerhaft nicht beeinflussbaren Kosten durch den am 18.01.2024 eingeleiteten Diskussionsprozess über die Weiterentwicklung der Anreizregulierung sogleich wieder weniger verlässlich wird.</t>
  </si>
  <si>
    <t xml:space="preserve">Perspektivisch müssen auch Regelungen für die Aufwendungen gefunden werden, die für den Netzbetreiber anfallen, weil er zwingend aufgrund gesetzlicher oder behördlicher Vorgaben (z.B. Festlegungen zu § 14a EnWG oder TAF 10) Zusatzleistungen nach § 34 (2) und (3) MsbG beauftragen muss. </t>
  </si>
  <si>
    <t xml:space="preserve">Auch für diesen Zusatzaufwand, der über das Budgetprinzip des Basisjahres erst mit einem Zeitverzug von bis zu 7 Jahren erlöst werden kann, ist nach Einschätzung des VKU perspektivisch eine Lösung erforderlich. </t>
  </si>
  <si>
    <t xml:space="preserve">Grundsätzlich ergibt sich die Planmenge als Summe aus dem Endbestand an iMSys aus dem der Anpassung der EOG um zwei Jahre vorausgehenden Jahr (t-2) und dem Dreifachen des Zuwachses an iMSys im ersten Halbjahr des der Anpassung der EOG vorausgehenden Jahres (t-1). In begründeten Einzelfällen dürfen andere, zutreffendere und sachlich begründete Rolloutmengen bei der Bestimmung der zukünftigen Erlösobergrenze angesetzt werden. Netzbetreiber im vereinfachten Verfahren werden so gestellt, dass auch im vereinfachten Verfahren der Kostenbeitrag des Netzbetreibers zu den intelligenten Messsystemen wie bei den dauerhaft nicht beeinflussbaren Kosten nach § 11 Abs.2 Satz 1 Nr. 4 und 8 mit einem Planwert in Höhe von t-0 berücksichtigt wird. </t>
  </si>
  <si>
    <t>Die Berücksichtigung von in der Vergangenheit realisierten Rolloutmengen bei intelligenten Messsystemen hochgerechnet auch für die Ermittlung von Erlösen für zukünftige Rolloutmengen ist ein praktikabler Weg und sollte sollte als Standardlösung so geregelt werden. Dennoch muss es in begründeten Einzelfällen zulässig sein, von der Standardlösung abweichende, sachlich gerechtfertigte Mengenansätze zu wählen. Diese für Netzbetreiber im Regelverfahren angedachte Verfahrensweise muss in der wirtschaftlichen Auswirkung auch für Netzbetreiber im vereinfachten Verfahren gelten.</t>
  </si>
  <si>
    <t>Bis zum Jahr 2032 sollen 95% der Kosten des konventionellen Messstellenbetriebs grundsätzlich linear über 10 Jahre abgebaut werden. Da die abzubauenden Kosten für das konventionelle Messgeschäft weiterhin der Inflation unterliegen, ist beim Abbaupfad die netzwirtschaftliche Inflation zu berücksichtigen und der netzwirtschaftliche Produktivitätsfortschritt, sofern dieser im konventionellen Messstellenbetrieb noch signifikant ist. Folglich wird der Abbauphad nicht mehr gleichmäßig ausfallen sondern die Form einer Kurve annehmen.</t>
  </si>
  <si>
    <t>Die Form des Abbaupfads, vorgeschlagen wird ein linearer Abbaupfad beginnend 2024 mit den anerkannten Kosten des Messstellenbetriebes 2021 bis zum 31.12.2032. Dieser endet auf einem Niveau von 5% der anerkannten Kosten des Messstellenbetriebes des Jahres 2021 unter Berücksichtigung der Infaltion und des VPi . Dabei wären besondere Anstrengungen in den Anfangsjahren des Rollouts ab dem Jahr 2024 wirtschaftlich vorteilhaft für den Netzbetreiber.</t>
  </si>
  <si>
    <t>Paragraph 45 MsbG sieht vor, dass lediglich 95% der modernen Messgeräte und intelligenten Messsysteme innerhalb von zehn Jahren ausgerollt sein müssen. Deshalb sollte der Abbaupfad nach zehn Jahren nicht bei null enden. Um die gewünschte Beschleunigung des Rollouts der POG-regulierten Messgeräte tatsächlich erreichen zu können, bräuchte es das Vertrauen der Netzbetreiber, dass der mit vorliegendem Eckpunktepapier ausgeprägte Anreiz auch Bestand haben wird. Es wäre daher wichtig, dass die zu erfolgende Festlegung den Abbaupfad verbindlich fixiert. In der regulierungspraktischen Umsetzung würde dies für die Kostenprüfungen mit Bezug zum nächsten Basisjahr bedeuten, dass die dort von den Netzbetreibern anzuzeigenden operativen Betriebsaufwendungen für den konventionellen Messstellenbetrieb inklusive Messung für die Ermittlung der Erlösobergrenzen der fünften Regulierungsperiode keine Rolle spielen dürften. Die entsprechenden Anteile an den Erlösobergrenzen der fünften Regulierungsperiode würden sich dann weiterhin nur aus den anerkannten Kosten des Basisjahres 2021 (sowie des Verbraucherpreisindex und des generellen sektoralen Produktivitätsfortschritts) ergeben. Sollten Netzbetreiber dagegen die Option erkennen oder befürchten müssen, dass die Regulatorik den bisherigen Abbaupfad beispielsweise ab 2029 von einem neuen – initial abgesenkten – Niveau bis Ende 2032 weiterlaufen ließe, würde ein kontraproduktives Signal gesetzt werden. Netzbetreibern, die innerhalb der vierten Regulierungsperiode den Rollout der POG-regulierten Messgeräte stark beschleunigt hätten, würde man große Anteile ihrer ihnen in Aussicht gestellten möglichen Gewinne in der fünften Regulierungsperiode plötzlich wieder entziehen. Dies käme einer Abschöpfung der im Vertrauen auf die Festlegung entsprechend des Eckpunktepapiers und infolge des beschleunigten Rollouts durch den Netzbetreiber sich dann planmäßig ergebender Gewinne in der fünften Regulierungsperiode gleich.</t>
  </si>
  <si>
    <t>(1) Der Messstellenbetrieb ist Aufgabe des grundzuständigen Messstellenbetreibers, soweit nicht eine anderweitige Vereinbarung nach § 5 oder § 6 getroffen worden ist. Die Funktion des Smart-Meter-Gateway-Administrators wird dem Messstellenbetreiber zugeordnet. Schuldner der nach § 7 Absatz 1 Satz 1 festzulegenden Messentgelte sind nach Maßgabe der §§ 29, 30, 32 und 36 Absatz 2 und jeweils in Höhe ihrer dort festgelegten Anteile der Anschlussnetzbetreiber und der Anschlussnutzer. Schuldner der Entgelte für Zusatzleistungen ist nach Maßgabe von § 34 Absatz 2 und 3 jeweils der Besteller von Zusatzleistungen. Hat der Anschlussnutzer einen kombinierten Vertrag nach § 9 Absatz 2 und der Energielieferant mit dem Messstellenbetreiber einen Vertrag nach § 9 Absatz 1 Nummer 2 abgeschlossen, ist insoweit statt des Anschlussnutzers der Energielieferant Schuldner nach Satz 1. Der grundzuständige Messstellenbetreiber ist in keinem Fall berechtigt, für die Erbringung der Standardleistungen nach § 34 Absatz 1 mehr als die in § 30 jeweils genannten Höchstentgelte und für die Erbringung von Zusatzleistungen nach § 34 Absatz 2 mehr als die in § 35 Absatz 1 jeweils genannten Höchstentgelte vom jeweiligen Entgeltschuldner zu verlangen; für den nach den §§ 5 oder 6 beauftragten Dritten gelten gegenüber dem Anschlussnetzbetreiber die Vorgaben des § 36 Absatz 2.</t>
  </si>
  <si>
    <t>Um einen technologieunabhängigen Ansatz für Smart Meter zu fördern, sollten flexible staatliche Fördermittel eingeführt werden. Dieser Ansatz ermutigt Verteilnetzbetreiber, in Spitzentechnologien wie Distributed-Ledger-Technologie und fortschrittliche Digitalisierungsmethoden auf Verteilnetzebene zu investieren, anstatt sich auf veraltete Smart Meter zu beschränken, die seit den 1970er Jahren im Einsatz sind. Durch die Vermeidung impliziter Vorurteile gegenüber bestimmten Technologien und die Einführung einer auf funktionale Anforderungen ausgerichteten Strategie können Subventionen sicherstellen, dass Verbraucherschutz, Kosteneffizienz und kontinuierliche technologische Innovation im Mittelpunkt der Digitalisierungsbemühungen bleiben.</t>
  </si>
  <si>
    <t>Enoda Ltd.</t>
  </si>
  <si>
    <t>Unser Vorschlag ist, dass die Smart-Meter-Politik 1) eine preisgünstige Lösung für Verteilnetzbetreiber unterstützen und 2) die entstehenden „Schatten“-Kosten bei der Einführung neuer Technologien anerkennen und unterstützen sollte</t>
  </si>
  <si>
    <t>Erstens sollte Deutschland sicherstellen, dass die bestmögliche Lösung für die Digitalisierung der Energienetze mit fairen Preisen angestrebt wird, da die Begrenzung der Gebühr für Smart-Meter auf 20 Euro pro Haushalt dazu führen kann, dass zusätzliche Kosten durch höhere Energierechnungen an die Verbraucher weitergegeben werden oder durch weitere öffentliche Infrastruktursubventionen, wobei die Notwendigkeit betont wird, die mit den Netzbetreibern verbundenen „Schattenkosten“ anzugehen, sobald Smart-Meter eingesetzt werden. Zweitens unterstreichen wir die Notwendigkeit einer umfassenden Bewertung der Herausforderungen im Zusammenhang mit Smart-Metere, wie z. B. Cybersicherheitsrisiken und Datenschutzbedenken, und plädieren für Lösungen, die sowohl Betreibern als auch Endverbrauchern Priorität einräumen. Vor der Einführung willkürlicher finanzieller Obergrenzen ist Vorsicht geboten, da sich Lösungen, die neue Technologien abdecken, trotz der Vorlaufkosten auf lange Sicht als kosteneffizienter erweisen und für mehr Sicherheit und Netzwerkvorteile sorgen können.</t>
  </si>
  <si>
    <t>Grundsätzlich ergibt sich die Planmenge als Summe aus dem Endbestand an iMSys aus dem der Anpassung der EOG um zwei Jahre vorausgehenden Jahr (t-2) und dem Dreifachen des Zuwachses an iMSys im ersten Halbjahr des der Anpassung der EOG vorausgehenden Jahres (t-1). In begründeten Einzelfällen dürfen andere, zutreffendere und sachlich begründete Rolloutmengen bei der Bestimmung der zukünftigen Erlösobergrenze angesetzt werden.</t>
  </si>
  <si>
    <t>Wir sehen es kritisch, dass den Netzbetreibern nicht zumindest im begründeten Ausnahmefall die Möglichkeit gegeben wird, eigene Planansätze heranzuziehen, sondern auf eine pauschalierte Zuwachsprognose zurückgegriffen wird. Sollte bspw. das 1. Halbjahr des Jahres t-1 vom Netzbetreiber nicht beeinflussbaren Schwankungen unterliegen, so kann dies zu einer Über- oder Unterschätzung des Planwertes für das Jahr t und somit zu größeren Effekten auf das Regulierungskontosaldo führen. 
Individuelle Netzbetreiberprognosen können solche Besonderheiten besser berücksichtigen und mit entsprechenden Plananpassungen entgegensteuern.</t>
  </si>
  <si>
    <t>Jedes Intelligente Messsystem wird bei der Anpassung der EOG in Höhe der tatsächlich vom Netzbetreiber zu tragenden Kosten höchstens jedoch in Höhe der maximalen Beteiligung an der POG berücksichtigt.
Die Kostenanerkennung beim Netzbetreiber ist unabhängig davon, ob es sich um eine Verrechnung des grundzuständigen oder wettbewerblichen Messstellenbetreibers handelt.</t>
  </si>
  <si>
    <t>Die Preisobergrenzen für intelligente Messsysteme können durch Verordnung des BMWK angepasst werden. Die Festlegung der BNetzA sollte auch bei möglichen Anpassungen der Preisobergrenze weitergelten und die regulatorische Anerkennung und Refinanzierung des vom Netzbetreiber zu tragenden Anteils gewährleisten. Ebenso hat die Kostenanerkennung beim Netzbetreiber stattzufinden, unabhängig davon, ob es sich um den grundzuständigen oder wettbewerbliche Messstellenbetreiber handelt.</t>
  </si>
  <si>
    <t>//Ergänzung</t>
  </si>
  <si>
    <t>Für Zusatzleistungen nach § 34 Abs. 2 und 3 MsbG kann der Messstellenbetreiber vom Besteller ein angemessenes Entgelt unter Berücksichtigung der Vorgaben bzw. Preisobergrenzen in § 35 MsbG verlangen. In Umsetzung gesetzlicher Verpflichtungen oder behördlicher Vorgaben (z. B. Festlegungen zu § 14a EnWG oder TAF 10) kann es dazu kommen, dass Netzbetreiber Zusatzleistungen nach § 34 Abs. 2 und 3 MsbG zwingend beauftragen müssen.
Um den betroffenen Netzbetreibern keine Nachteile entstehen zu lassen, müssen auch die Kosten für Zusatzleistungen im Rahmen der dnbK angesetzt und anerkannt werden.</t>
  </si>
  <si>
    <t>Weiterhin weisen wir darauf hin, dass auch in Hinblick auf die kürzlich von der BNetzA verabschiedeten Eckpunkte zur zukünftigen Regulierungssystematik die Anerkennung der entstehenden Kosten als dauerhaft nicht beeinflussbare Kostenanteile auch in künftigen Regulierungsperioden gewährleistet sein muss.</t>
  </si>
  <si>
    <t xml:space="preserve">Das Basisjahr 2021 als Aufsatzpunkt heranzuziehen, erscheint uns als sachgerecht, da hier eine ein-heitliche Zahlenbasis für alle Netzbetreiber im Rahmen der Kostenprüfung generiert und durch die BNetzA geprüft wurde. 
Es ist jedoch zu klären, wie bei der Ermittlung des Abbaupfads ab 2024 die Zählerabgänge 2022 und 2023 berücksichtigt werden. Ein Abbau der Erlöse in den Jahren 2022 und 2023 anhand des ermittelten Pfads ist aus unserer Sicht nicht zu berücksichtigen, da in den Jahren 2022 und 2023 die Reduktion der Erlöse gegenüber dem Ausgangsniveau für die dritte Regulierungsperiode aus dem Jahr 2016 erfolgt. </t>
  </si>
  <si>
    <t xml:space="preserve">Ein linearer Abbaupfad schafft Anreize, für einen beschleunigten Abbau. Da jedoch Netzbetreiber und gMSB nicht zwingend Tätigkeiten in einem und demselben Unternehmen sind, ist der Netzbetreiber hier abhängig von den Rollout-Aktivitäten des gMSB sowie ggf. wettbewerblicher MSB. Eine weitere Abhängigkeit besteht anhand von möglichen Kapazitätsengpässen in Lieferketten und Montageleistungen. Dies verursacht in der Folge nicht von den Netzbetreibern zu verantwortende monetäre Risiken, welche ihnen anhand eines fixierten Abbaupfades entstehen würden.
Es ist außerdem dringend zu beachten, dass der Abbaupfad analog den Netzkosten des Ausgangsniveaus einer Inflation unterliegt. Auf die nach Abbaupfad zugestandenen Messkosten sollte der VPI ebenso Anwendung finden. Dieser Inflationsfaktor ließe sich bspw. über ein Verhältnis „VPI des betrachteten Jahres“ zu „VPI des Jahres 2021“ (Aufsatzpunkt) ermitteln und ist auf die zugestandenen Messkosten anzuwenden.
In der Kostenprüfung des Basisjahres 2026 sollten die operativen Kosten für Messung dann zwar festgestellt und von den Netzkosten separiert werden, jedoch keiner Kürzung oder separaten Prüfung unterliegen. Der Anteil Messkosten in den Erlösobergrenzen der 5. RP sollte anhand des Abbaupfads zzgl. Remanenzkosten unabhängig von der realen Kostenentwicklung fixiert sein.
</t>
  </si>
  <si>
    <t xml:space="preserve">
Es ist aus unserer Sicht im Abbaupfad zu trennen nach SLP- und RLM-Messungen, da die technischen Voraussetzungen für einen Rollout sowie die entsprechenden Rollout-Pläne sich bei RLM-Messstellen deutlich unterscheiden:
•	Später startender Rollout: gemäß § 45 MsbG muss erst 2028 mit der Ausstattung mit intelli-genten Messsystemen begonnen werden; bis 2027 können hierfür noch konventionelle Messeinrichtungen eingebaut werden
•	keine vollständige Rollout-Pflicht: gemäß § 45 MsbG ist eine Ausstattung mit intelligenten Messsystemen bis Ende 2032 nur für 95 % der RLM-Messstellen verpflichtend 
•	spezifisch höhere Kosten für RLM-Messeinrichtungen ggü. SLP-Messstellen
Hierfür bietet sich eine Differenzierung im Abbaupfad, mindestens jedoch eine Berücksichtigung im Durchschnittspreis und Abbaupfad an.</t>
  </si>
  <si>
    <t>Der Umgang mit etwaigen Sonderabschreibungen für Zähler, die im Jahr 2032 noch nicht vollständig abgeschrieben sind. Vorgeschlagen wird, den im Jahr 2032 verbleibenden Restwert festzustellen und diesen linear abzusenken.</t>
  </si>
  <si>
    <t>Wir bewerten es positiv, dass die BNetzA die Auswirkungen möglicher Restbuchwerte 2032 und die Idee Sonderabschreibungen durchzuführen und anzuerkennen, in die Festlegung einbeziehen will.  
Den Netzbetreibern muss dringend gewährleistet werden, alle getätigten Investitionen in den kon-ventionellen Messstellenbetreiber vollständig refinanzieren zu können. Hierzu bedarf es nach unserer Ansicht der Abbildung und Anerkennung kalkulatorischer Buchverluste / Sonderabschreibungen. Hier sollte auch in den zukünftigen Basisjahren die Anerkennung von Buchverlusten auf konventionelle Messeinrichtungen erfolgen, um somit die Refinanzierung zu ermöglichen.
Auch der Ansatz von frühzeitigen Sonderabschreibungen, welche die zu erwartenden nicht refinanzierten Restbuchwerte decken und auf die Jahre vor 2032 verteilen, ist aus Sicht des Netzbetreibers denkbar.</t>
  </si>
  <si>
    <t xml:space="preserve">Einen etwaigen Sockelbetrag (remanente Kosten), der erst ab dem Jahr 2033 vollständig entfällt. </t>
  </si>
  <si>
    <t>Die BNetzA hat bisher im Regulierungskonto mögliche Remanenzkosten pauschal berücksichtigt. Eine weitere (pauschale) Berücksichtigung ist dringend geboten, um die beim Netzbetreiber bis zum Ende des konventionellen Messstellenbetriebs bestehenbleibenden sowie sprungfixe Kosten zu decken.
Hierbei ist wie oben beschrieben u.a. zu berücksichtigen, dass insbesondere für RLM-Zähler der Rollout erst voraussichtlich ab 2028 beginnen wird und nur für 95% der Messstellen verpflichtend ist. Dem Messstellenbetrieb von RLM-Messungen sind u. a. höhere Kosten für IT-Systeme zuzuordnen, welche auch für die letzten bestehenden konventionellen RLM-Messstellen aufrechterhalten werden müssen.
Um einen Anstieg der spezifischen MSB-Entgelte für konventionellen MSB („den letzten RLM-Zähler“) zu vermeiden, sollten Remanenzkosten nicht über das konventionelle MSB-Entgelte, sondern über die allgemeinen Netzentgelte erlöst werden können. Wir erachten es als sinnvoll an, dass die BNetzA in der anstehenden Festlegung dies bereits mit regelt.</t>
  </si>
  <si>
    <t>Wir schließen uns aufgrund der vielen offenen Fragen und noch zu diskutierenden Ansätze und Detailpunkte zum Abbau der Kosten des konventionellen Messtellenbetriebs dem BDEW in der Forderung an, die Thematik von den Kosten der anteiligen Preisobergrenze intelligenter Messsysteme zeitlich zu entkoppeln. Nach einer schnell möglichen Festlegung zur Berücksichtigung der Kosten aus der anteiligen Preisobergrenze intelligenter Messsysteme könnte nach Klärung der aufgeworfenen Fragen das Verfahren zu den Kosten aus konventionellen Messstellenbetrieb auch noch im weiteren Verlauf des Jahres 2024 abgeschlossen werden.</t>
  </si>
  <si>
    <t>Übergangsregelung zur Nachholung des Jahres 2024: Aufgrund des Inkrafttretens der Festlegung im Luafe des Jahres 2024 wird die Beteiligung der Netzbetreiber an der POG von iMSys aus diesem Jahr auf dem RegK 2024 nachgefahren. Die Ist-Kosten aus der Beteiligung des Netzbetreibers an der POG von iMSys aus dem Jahr 2024 werden in voller Höhe auf dem Regulierungskonto 2024 verbucht und über die Jahre 2027 - 2029 ausgekehrt.</t>
  </si>
  <si>
    <t>Die Ist-Kosten aus der Beteiligung der Netzbetreiber an der POG von iMSys aus dem Jahr 2024 sind anteilig in den Jahren 2025 bis 2027 in die Erlösobergrenze einzubeziehen.</t>
  </si>
  <si>
    <t>Die Netzbetreiber erhalten bereits im Jahr 2024 die Kostenbeteiligung an der POG von den MSB in Rechnuug gestellt. Hier muss der VNB in Vorleistung gehen. Die Abwicklung über das Regulierungskonto 2024 verzögert die Refinanzierung über die EOG.</t>
  </si>
  <si>
    <t>Die WEMAG Netz GmbH schließt sich den Stellungnahmen der Verbände VKU und BDEW vollumfänglich an. Folgende Punkte sind hierbei besonders wichtig.</t>
  </si>
  <si>
    <t>Bis zum Jahr 2032 sollen 95% der Kosten des konventionellen Messstellenbetriebs grundsätzlich linear bis zum 31.12.2032 abgebaut werden. Da die abzubauenden Kosten für das konventionelle Messgeschäft weiterhin der Inflation unterliegen, ist beim Abbaupfad die netzwirtschaftliche Inflation zu berücksichtigen und der netzwirtschaftliche Produktivitätsfortschritt, sofern dieser im konventionellen Messstellenbetrieb noch signifikant ist. Folglich wird der Abbaupfad nicht mehr gleichmäßig ausfallen sondern die Form einer Kurve annehmen.</t>
  </si>
  <si>
    <t xml:space="preserve">Paragraph 45 MsbG sieht vor, dass lediglich 95% der modernen Messgeräte und intelligenten Messsysteme innerhalb von zehn Jahren (bis 31.12.2032) ausgerollt sein müssen. Deshalb sollte der Abbaupfad nicht bei null enden. </t>
  </si>
  <si>
    <t>Kosten des Netzebtreibers, die durch gesetzliche oder behördliche Vorgaben zusätzlich durch den Netzbetreiber zu tragen sind, sind ebenfalls in der jährlichen Anpassung entsprechend den Ansätzen zum Rollout zu berücksichtigen.</t>
  </si>
  <si>
    <t>Die Planmenge ergibt sich als Summe aus dem Endbestand an iMSys aus dem der Anpassung der EOG um zwei Jahre vorausgehenden Jahr (t-2) und dem Dreifachen des Zuwachses an iMSys im ersten Halbjahr des der Anpassung vorausgehenden Jahres (t-1). …</t>
  </si>
  <si>
    <t xml:space="preserve">Ergänzung von: "Bei Vorliegen gesicherter Erkenntnisse können auch niedrigere Planmengen herangezogen werden. Zur Einführung sind für das Kalenderjahr 2025 auch höhere Planmengen auf Basis gesicherter Erkenntnisse und belegbarer Planungen zulässig." </t>
  </si>
  <si>
    <t xml:space="preserve">Die pragmatische Ermittlung der Planmenge aus Ist-Bestand des Vorvorjahres und dem Dreifachen des Zuwachses im ersten Halbjahr des Vorjahres kann eine sehr gute Richtgröße sein. 
Um zu hohe Planansätze und damit entsprechende Auswirkungen auf Netzentgelte und Regulierungskonto zum Ende der Rollout-Phase vermeiden zu können, sollten Netzbetrei-ber ohne besondere Voraussetzungen diese Richtgrößen unterschreiten können, d. h. nied-rigere Planmengen ansetzen können. 
Umgekehrt sollten insbesondere im ersten Umsetzungsjahr 2025 Netzbetreiber auf Basis gesicherter Erkenntnisse und belegbarer Planungen auch höhere Planmengen als die prag-matisch ermittelte Richtgröße verwenden können, da in der Hochlaufphase dieser Ansatz das Rollout-Geschehen deutlich unterschätzen und damit zu erheblichen Vorfinanzierungen führen kann. </t>
  </si>
  <si>
    <t>Jedes intelligente Messsystem wird bei der Anpassung in Höhe der tatsächlich vom Netzbetreiber zu tragenden Kosten höchstens jedoch in Höhe der maximalen Beteiligung an der POG von 80 € berücksichtigt.</t>
  </si>
  <si>
    <t>Jedes intelligente Messsystem wird bei der Anpassung in Höhe der tatsächlich vom Netzbetreiber zu tragenden Kosten höchstens jedoch in Höhe der maximalen Beteiligung an der POG berücksichtigt.</t>
  </si>
  <si>
    <t xml:space="preserve">Die Preisobergrenzen sind in § 30 MsbG als Brutto-Werte einschließlich Umsatzsteuer aus-gewiesen. Für die Kostenverteilung zwischen MSB und Netzbetreiber sind jedoch die Netto-Werte ohne Umsatzsteuer maßgeblich. Wenn überhaupt Zahlenwerte für die POG in der BNetzA-Festlegung genannt werden, sollte zur Vermeidung von Missverständnissen aus-schließlich auf Netto-Werte (z.B. rd. 67 €) abgestellt werden. 
Die Preisobergrenzen können durch eine BMWK-Verordnung angepasst werden, derzeit läuft bereits eine entsprechende Kosten-Nutzen-Analyse. Eine BNetzA-Festlegung sollte deshalb so ausformuliert sein, dass sie auch bei einer Anpassung der POG unverändert weitergelten kann und eine regulatorische Berücksichtigung des Netzbetreiber-Anteils an der POG bzw. an dem tatsächlichen MSB-Entgelt sicherstellt.  </t>
  </si>
  <si>
    <t xml:space="preserve">Im Rahmen der Anpassung der EOG (ab 2025 zum 31.12.2024) können alle Betreiber von Elektrizitätsversorgungsnetzten nach § 3 Nr. 2 EnWG unter einer neuen Position der dauerhaft nicht beeinflussbaren Kostenanteile im Erhebungsbogen Plankosten (t-0) für die Beteiligung an der POG von iMSys nach § 30 Abs. 1-3 MsbG ansetzen. </t>
  </si>
  <si>
    <t xml:space="preserve">Im Rahmen der Anpassung der EOG (ab 2025 zum 31.12.2024) können alle Betreiber von Elektrizitätsversorgungsnetzen nach § 3 Nr. 2 EnWG unter einer neuen Position der dauerhaft nicht beeinflussbaren Kostenanteile im Erhebungsbogen Plankosten (t-0) für die Beteiligung an der POG von iMSys gemäß MsbG ansetzen. </t>
  </si>
  <si>
    <t xml:space="preserve">Für Standardleistungen des Messstellenbetreibers werden die Entgelte/POG gemäß den Vorgaben des § 30 MsbG auf Anschlussnetzbetreiber und Anschlussnutzer aufgeteilt. Für Zusatzleistungen nach § 34 Abs. 2 und 3 MsbG kann der MSB vom Besteller ein angemesse-nes Entgelt unter Berücksichtigung der Vorgaben bzw. Preisobergrenzen in § 35 MsbG ver-langen. 
In Umsetzung gesetzlicher Verpflichtungen oder behördlicher Vorgaben (z. B. Festlegungen zu § 14a EnWG oder TAF 10) kann es dazu kommen, dass Netzbetreiber Zusatzleistungen nach § 34 Abs. 2 und 3 MsbG zwingend beauftragen müssen. So ist nicht nur die Umsetzung der Flexibilitätssteuerung aus § 14a EnWG und die hierfür erforderliche Erhebung von Netzzustandsdaten gesetzlich vorgeschrieben – vielmehr werden auch wettbewerbliche Schalthandlungen im Rahmen der Einführung dynamischer Stromtarife ab 2025 stark zu-nehmen, für die eine dauerhafte und flächenübergreifende Netzzustandsbeobachtung zur Gewährleistung der Netzstabilität notwendig wird. Weder ist die Anzahl der Kunden mit dynamischen Tarifen noch die Anzahl der wettbewerblichen Schalthandlungen vom Netzbe-treiber beeinflussbar.
Zur Erreichung der zugrundeliegenden Ziele und zur Vermeidung von Benachteiligungen bei unterschiedlicher Betroffenheit müssen auch diese Kosten des Netzbetreibers für Zusatz-leistungen regulatorisch als dnbK anerkannt werden. </t>
  </si>
  <si>
    <t xml:space="preserve">Den Aufsatzpunkt für die in der EOG enthaltenen Kosten aus dem konventionellen Messstellenbetrieb, vorgeschlagen wird das Jahr 2021. </t>
  </si>
  <si>
    <t>? Klärungsbedarf!</t>
  </si>
  <si>
    <t xml:space="preserve">Es ist sinnvoll und praktikabel, als Aufsatzpunkt das Jahr 2021 (Basisjahr der vierten Regu-lierungsperiode) heranzuziehen. 
Es bleibt jedoch unklar, ob das Kostenniveau des Jahres 2021 linear bis zum Jahr 2032 reduziert werden soll, ohne dass Änderungen zwischen 2021 und 2024 berücksichtigt werden, oder ob Zählerausbauten der Jahre 2022 und 2023 beim Startniveau 2024 berücksichtigt werden. 
Bei der Bestimmung der zulässigen Erlösobergrenze für die vierte Regulierungsperiode (2024-2028) wurden über das Regulierungskonto bereits bestimmte Änderungen nach 2021 erlösmindernd berücksichtigt (z. B. Ausbauten 2022/2023). Damit solche EOG-Minderungen nicht erneut in den abzubauenden EOG-Anteil einfließen, müssen diese bereits abgebauten EOG-Anteile berücksichtigt werden. </t>
  </si>
  <si>
    <t xml:space="preserve">Den Umgang mit den bei Netzzu- und abgängen übergehenden Kosten aus dem konventionellen Messstellenbetrieb. Vorgeschlagen wird, diese Kosten unberücksichtigt zu lassen. </t>
  </si>
  <si>
    <t xml:space="preserve">Die Form des Abbaupfads, vorgeschlagen wird ein linearer Abbaupfad. Dabei wären insbesondere Anstrengungen in den Anfangsjahren des Rollouts ab dem Jahr 2024 vorteilhaft für Netzbetreiber. </t>
  </si>
  <si>
    <t xml:space="preserve">Mit einem vorgegebenen linearen Abbaupfad unabhängig von der tatsächlichen Mengenentwicklung soll ein Anreiz gesetzt werden, dass konventionelle Messeinrichtungen möglichst schnell ersetzt werden. Dies kann ein sinnvoller Ansatz zur Beschleunigung des Smart-Meter-Rollouts und zur Digitalisierung der Netzwirtschaft sein. 
Wir verstehen die Eckpunkte so, dass der lineare Abbaupfad ex-ante für den Zeitraum 2024-2032 unveränderlich festgelegt wird und damit eine Entkopplung von den Regulierungsperioden erfolgt. Um die gewünschte Beschleunigung des Rollouts auch zu erreichen, braucht es das Vertrauen der Netzbetreiber, dass die vorgeschlagene Anreizwirkung Bestand haben wird. 
Der lineare Abbaupfad kann eine erhebliche Marktdynamik anreizen, die mit Preissteigerungen der Hersteller und Dienstleister und einer verschärften Konkurrenz um begrenzte Montagekapazitäten einhergehen könnte. Ein langfristiger ex-ante definierter Abbaupfad beinhaltet also Chancen und Risiken für Netzbetreiber. 
Aus unserer Sicht wäre es wichtig, dass die Festlegung den Abbaupfad verbindlich für den gesamten Zeitraum fixiert. In der Kostenprüfung mit Basisjahr 2026 dürften dann die operativen Kosten des konventionellen Messstellenbetriebs nicht mehr betrachtet werden, sondern weiterhin die geprüften und anerkannten Kosten des Basisjahres 2021. Daher müsste bei einem Gesamt-Abbaupfad 2024-2032 zur Stärkung der Anreizwirkung klargestellt werden, dass keine erneute Prüfung der Kosten des konventionellen Messstellenbetriebs zur fünften Regulierungsperiode erfolgt. Ansonsten würden Netzbetreiber, die einen schnellen Rollout forcieren, nachträglich benachteiligt werden. 
Ein langfristig fixierter Abbaupfad kann auch den regulatorischen Umsetzungsaufwand reduzieren und stellt deshalb eine pragmatische Lösung dar. </t>
  </si>
  <si>
    <t xml:space="preserve">Anwendung einer Sockelpauschale in Anlehnung an Remanenzkostenpauschale ist weiterhin sinnvoll. </t>
  </si>
  <si>
    <t xml:space="preserve">Bei Verringerung der Anzahl konventioneller Messeinrichtungen lassen sich die beim Netzbetreiber anfallenden Kosten des (konventionellen) Messstellenbetriebs i. d. R. nicht im gleichen Verhältnis reduzieren. Die BNetzA hat die remanenten Kosten bisher i. d. R. pauschal berücksichtigt. 
Darüber hinaus entstehen nun zusätzliche Unwägbarkeiten für Netzbetreiber durch den linearen Abbaupfad, die angereizte Beschleunigung des Rollouts und den Verzicht auf die Abbildung von Besonderheiten, z. B. von RLM-Messstellen. 
Aus Sicht des BDEW ist ein pauschaler Sockelbetrag in Höhe von 25 % in Anlehnung an die bisherige Remanenzkostenpauschale aus mehreren Gründen weiterhin sinnvoll und sachgerecht.  
Mit der Sockelpauschale können folgende Kosten bzw. Risiken pauschal und pragmatisch abgebildet werden: 
Besonderheiten von RLM-Messstellen
- Später startender Rollout
Bei Letztverbrauchern mit einem Jahresstromverbrauch über 100.000 kWh (§ 30 Abs. 1 Nr. 1 MsbG) oder Erzeugungsanlagen mit einer installierten Leistung über 100 kW (§ 30 Abs. 2 Nr. 4 MsbG) muss gemäß § 45 MsbG erst 2028 mit der Ausstattung mit intel-ligenten Messsystemen begonnen werden. Bis Ende 2027 können in diesem Segment noch konventionelle Messeinrichtungen eingebaut werden.
- Keine Reduzierung auf 0
Bei Letztverbrauchern mit einem Jahresstromverbrauch über 100.000 kWh (§ 30 Abs. 1 Nr. 1 MsbG) oder Erzeugungsanlagen mit einer installierten Leistung über 100 kW (§ 30 Abs. 2 Nr. 4 MsbG) muss gemäß § 45+G10 MsbG eine Ausstattung mit intelligenten Messsystemen bis Ende 2032 nur von 95 % der auszustattenden Messstellen erfolgen. 
- RLM-Messeinrichtungen haben spezifisch höhere Kosten als SLP-Messstellen. 
Um auf eine Differenzierung des Abbaupfades und des Zielwerts zwischen SLP- und RLM-Messstellen verzichten zu können, ist eine pauschale Abbildung praktikabler.  
- Risiken aus langfristigem ex-ante-Abbaupfad ohne Kostenabgleich
Mit der MsbG-Novelle hat der Rollout an Dynamik gewonnen. Durch den angedachten ex-ante-Abbaupfad werden zusätzliche Anreize für einen beschleunigten Rollout gesetzt. Es besteht ein Risiko, dass diese erhöhte Dynamik (z. B. Hochlauf von § 14a-Anlagen) auch zu Engpässen bei Lieferanten (Verfügbarkeit von Technik) und Dienst-leistern (Verfügbarkeit von Montagekapazitäten u. a. durch Konkurrenz zu anderen energiewendebedingten Hochläufen, z. B. PV-Anlagen) und damit auch Preissteigerungen oder Verzögerungen führt. 
Anstatt aufwändig ex-post diese Aspekte regulatorisch zu würdigen, könnte durch den pauschalen Ansatz ein Effizienzanreiz gesetzt werden. 
Sprungfixe Kostenverläufe und begrenzte Beeinflussbarkeit von Kosten, z. B. IT-Kosten die unabhängig von der Anzahl konventioneller Messeinrichtungen anfallen. 
Zur praktischen Umsetzung der Sockelpauschale sollte der Aufsatzpunkt für den linearen Abbaupfad der operativen Kosten pauschal um 25% reduziert werden. 
Um stark steigende MSB-Entgelte für konventionellen MSB im Zeitablauf („den letzten RLM-Zähler“) zu vermeiden, sollten die Kosten aus der Sockelpauschale nicht über MSB-Entgelte, sondern über die allgemeinen Netzentgelte erlöst werden können. </t>
  </si>
  <si>
    <t xml:space="preserve">Es ist sicherzustellen, dass alle getätigten Investitionen in konventionelle Messeinrichtungen vollständig refinanziert werden können, entweder über MSB-Entgelte oder über Netzentgelte. 
Die kalkulatorischen Kapitalkosten der konventionellen Messeinrichtungen im Basisjahr 2021 und deren Absinken während der Regulierungsperiode wird im Ausgangsniveau der Erlösobergrenzen und über den Kapitalkostenabzug gemäß § 6 ARegV abgebildet. 
Werden konventionelle Messeinrichtungen noch vor Nutzungsdauer-Ende ausgebaut, entstehen kalkulatorische Buchverluste. Die kalkulatorischen Buchverluste aus dem Aus-bau noch nicht abgeschriebener konventioneller Messeinrichtungen sollten in tatsächli-cher Höhe über kalkulatorische Sonderabschreibungen abgebildet werden. 
Eine pragmatische, unbürokratische Alternative zu Sonderabschreibungen wäre, die konventionellen Messeinrichtungen auch nach dem Ausbau im Anlagevermögen des Netzbetreibers zu belassen und die Kapitalkosten bis zum Ende des Abbaupfades 2032 weiterlaufen zu lassen („fiktive Kapitalkosten“). 
Die zum Ende des Abbaupfades 2032 noch verbleibenden Restbuchwerte könnten zur Vermeidung einer überproportional hohen Sonderabschreibung linear über die Jahre 2025-2032 verteilt werden. Die benötigten Daten zum Anlagevermögen liegen bereits (geprüft) durch die vergangene Kostenprüfung vor. Eine Aktualisierung müsste lediglich um die Jahre 2029-2032 um die Restwerte der nach 2021 erfolgten Investitionen erfolgen. 
Vorteil dieses pragmatischen Ansatzes ist, dass nicht für jedes Jahr und jeden Netzbe-treiber die vernichteten Restwerte separat ermittelt und durch die BNetzA geprüft bzw. genehmigt werden müssen. Netzbetreiber haben so die Planungssicherheit, ihre getätigten Investitionen zurückzuverdienen und können damit möglichst effizient moderne Messeinrichtungen und intelligente Messysteme ausrollen. Dies unterstützt den im Eckpunktepapier beabsichtigten OPEX-Anreiz für einen schnellen Rollout. </t>
  </si>
  <si>
    <t>Auftrennung der Festlegungsverfahren</t>
  </si>
  <si>
    <t>Aufgrund der vielen offenen Fragen und noch zu diskutierenden Ansätze und Detailpunkte schlägt der BDEW vor, die Thematik des Abbaus der Kosten aus konventionellem Messstellenbetrieb von den Kosten der anteiligen Preisobergrenze intelligenter Messsysteme zeitlich zu entkoppeln. Nach einer schnell möglichen Festlegung zur Berücksichtigung der Kosten aus der anteiligen Preisobergrenze intelligenter Messsysteme könnte nach Klärung der aufgeworfenen Fragen das Verfahren zu den Kosten aus konventionellen Messstellenbetrieb auch noch in 2024 abgeschlossen werden. Der BDEW ist bereit, sich hieran konstruktiv zu beteiligen und schlägt als nächsten Schritt einen Austausch auf Expertenebene vor.</t>
  </si>
  <si>
    <t>Excel-Template nur für ausformulierte Festlegungsentwürfe</t>
  </si>
  <si>
    <t xml:space="preserve">Wie von der BNetzA vorgegeben, haben wir das bereit gestellte Excel-Template genutzt, um unsere Positionen und Vorschläge einzubringen und zu erläutern. In der aktuellen Konsul-tationsphase mit Eckpunkten und offenen Fragen war dies jedoch nur eingeschränkt mög-lich. 
Erschwerend kommt hinzu, dass aufgrund des Kopierschutzes im Eckpunktepapier die vom Template geforderten Originaltexte händisch eingetragen werden müssen. Aus unserer Sicht wäre zukünftig eine Nutzung von Templates als ergänzendes Instrument nur bei fertig ausformulierten Festlegungsentwürfen sinnvoll. </t>
  </si>
  <si>
    <t>Die Planmenge ergibt sich als Summe aus dem Endbestand an iMSys aus dem der Anpassung der EOG um zwei Jahre vorausgehenden Jahr (t-2) und dem Dreifachen des Zuwachses an iMSys im ersten Halbjahr des der Anpassung der EOG vorausgehenden Jahres (t-1). Die dreifache Berücksichtigung des Zuwachses an iMSys im ersten Halbjahr dient dazu, den voranschreitenden Rollout mit den aktuellsten Ist-Mengen zu prognostizieren.</t>
  </si>
  <si>
    <t>Hat der Verteilernetzbetreiber gesicherte Erkenntnisse zur Planmenge des Planjahres, kann er diese anstelle der pauschalen Zuwachsrate bei der Erlösobergrenze in Ansatz bringen.</t>
  </si>
  <si>
    <t>Wir begrüßen die Initiative der Bundesnetzagentur, die Kosten des intelligenten Messwesens als dauerhaft nicht beeinflussbare Kostenanteile zu klassifizieren, wodurch es uns auf praktikablem Wege möglich sein wird, die Kosten zeitnah in die Erlösobergrenzen und damit letztlich in unsere Netzentgelte einzustellen.
Die Bundesnetzagentur beabsichtigt, pauschal das Dreifache des Zuwachses an intelligenten Messsystemen im ersten Halbjahr des jeweils vorangegangenen Jahres bei der Plankostenmenge zugrunde legen. Wir gehen davon aus, dass die Bundesnetzagentur für ihren pauschalen Ansatz keine empirischen Befunde hat und die Konsultation des Eckpunktepapiers gerade dafür nutzen möchte, die Meinung der Branche dazu einzuholen. Diesem Aufruf folgen wir gern und geben die folgenden Punkte zu bedenken:
Der pauschale Ansatz birgt erhebliche Unwägbarkeiten, die dem erklärten Ziel des Gesetzgebers, das Messwesen auf schnellem Wege zu digitalisieren, zuwiderlaufen.
Der Rolloutplan des MsbG wurde zeitlich stark verzögert fixiert und darüber hinaus mit der Novelle im Dezember 2023 zeitlich gestrafft. Die Kundenstruktur (Letztverbraucher mit 6.000 kWh Jahresverbrauch und Betreiber von Anlagen mit mehr als 100 kW installierter Leistung) ist in den einzelnen Netzgebieten ebenfalls sehr verschieden. Wir halten es daher für sehr wahrscheinlich, dass der Rollout und damit die Kostenbelastung von Netzbetreiber zu Netzbetreiber sehr unterschiedliche Dynamiken aufweisen und sich kaum ein einheitliches Bild bei "dem einen" Verteilernetzbetreiber zeigen wird.
Letztlich berücksichtigt eine pauschale Zuwachsannahme in Höhe des Dreifachen auch nicht, dass, sobald technische wie personelle Kapazitäten der Messstellenbetreiber entsprechend aufgebaut sind, die machbare jährliche Einbaurate schlagartig ansteigen wird.
Unser Haus ist der Auffassung, dass in der Festlegung die genannten Unwägbarkeiten bei der jährlichen Zuwachsrate berücksichtigt werden müssen.
Denn ein strikter pauschaler Ansatz verstößt gegen das Kostendeckungsprinzip bei den dauerhaft nicht beeinflussbaren Kostenanteilen (vgl. § 21a Abs. 3 Nr. 3 EnWG, § 4 Abs. 3 Satz 1 Nr. 2 ARegV). Bis zum Erreichen des Scheitelpunkts könnte der unterstellte dreifache Zuwachs in der ersten Phase des Rollouts nicht ausreichen, um die tatsächlich entstehenden Kosten ohne Zeitverzug in die Erlösobergrenzen einzustellen. Ohne Berücksichtigung gesicherter Erkenntnisse zum Planjahr würde es zu einer Unterschätzung und damit Unterfinanzierung der tatsächlich entstandenen Kosten kommen. Der Ausgleich für die tatsächlich entstandenen Kosten erfolgt über das Regulierungskonto mit erheblicher Verzögerung. Immerhin wird der Saldo des Regulierungskontos erst 12 Kalendermonate später überhaupt ermittelt (vgl. § 5 Abs. 1a ARegV) und die Annuitäten erst ab dem übernächsten Jahr nach Antragstellung über drei Jahre verteilt (vgl. § 5 Abs. 3 ARegV). Mithin erhalten wir den vollen Kostenausgleich 5 Jahre später.
Eine pauschale Zuwachsrate in Höhe des Dreifachen könnte daher die falsche Lenkungswirkung mitsichbringen und ambitionierteren Rolloutplänen entgegenstehen. Dem Ziel, das Messwesen schnellstmöglich zu digitalisieren bzw. die Digitalisierung des Messwesens schnellstmöglich abzuschließen, liefe eine pauschale Zuwachsrate zuwider. Es ist für uns daher schon fraglich, ob eine pauschale Zuwachsrate überhaupt dem Ziel des MsbG zuträglich ist oder ob nicht besser wie beim Kapitalkostenaufschlag von vornherein Planwerte des Netzbetreibers in Ansatz gebracht werden sollten.
In jedem Fall aber gilt es aus Sicht unseres Unternehmens, eine sachgerechte Planmenge in Ansatz zu bringen. Um die Sachgerechtigkeit des Planansatzes sicherzustellen, sollte uns zumindest die Möglichkeit eingeräumt werden, anstelle der pauschalen Zuwachsrate eine abweichende Planmenge in Ansatz zu bringen, wenn wir hierfür gesicherte Erkenntnisse haben.
Die Möglichkeit, eine andere Planmenge anstelle des dreifachen Zuwachses in Ansatz zu bringen, dürfte die Regulierungsbehörden vor keine großen Herausforderungen stellen. Wir müssen die von uns in Ansatz gebrachten Plankosten ohnehin der Regulierungsbehörde mitteilen (vgl. § 28 Nr. 1 ARegV). Hierdurch wird die Regulierungsbehörde ausreichend in die Lage versetzt, die abweichende Planmenge bzw. die dargelegten gesicherten Erkenntnisse überprüfen und ggf. unplausiblen Planansätzen noch vor der Anpassung der Erlösobergrenzen widersprechen zu können und somit die Anwendung der pauschalen Zuwachsrate durchzusetzen.
Es ist auch nicht davon auszugehen, dass eine Überprüfung der abweichenden Planansätze die Regulierungsbehörde vor unzumutbare Herausforderungen stellen wird. In anderen Bereichen wie z.B. dem Kapitalkostenaufschlag haben wir regelmäßig Planansätze anzugeben, die von der Regulierungsbehörde umfassend zu überprüfen und zu genehmigen sind. Mit der hier begehrten Ergänzung, dass bei gesicherten Erkenntnissen über das Planjahr anstelle der dreifachen Zuwachsrate eine andere Planmenge zugrunde gelegt werden darf, bleibt es im Grundsatz bei der pauschalen Zuwachsrate und dem überschaubaren Prüfungsaufwand der Regulierungsbehörde. Nur in Ausnahmefällen hat die Regulierungsbehörde abweichende Planmengen auf Plausibilität zu prüfen. Der Begriff der gesicherten Erkenntnisse über das Planjahr war zudem in der Vergangenheit Teil der Regulierungspraxis (vgl. § 6 Abs. 1 Satz ARegV a.F. i. V. m. § 3 Abs. 1 Satz 5, 2. Halbsatz StromNEV a. F.). und wurde durch umfassende Rechtsprechung bereits ausgefüllt.
Letztlich ist es dem Energieregulierungsrecht nicht fremd, bei pauschalierten Kostenansätzen ein Recht zu deren Widerlegung einzuräumen (vgl. etwa die Regelung zu Kosten der Anschlussunterbrechung und Wiederherstellung in § 24 Abs. 5 Satz 5 NAV) bzw. über gesicherte Erkenntnisse zum Planjahr abzuändern (vgl. § 6 Abs. 1 Satz ARegV a.F. i. V. m. § 3 Abs. 1 Satz 5, 2. Halbsatz StromNEV a. F.). Damit wird ein angemessener Ausgleich zwischen dem Interesse der Regulierungsbehörde an verwaltungsvereinfachenden Ansätzen einerseits und dem Kostendeckungsinteresse der Verteilernetzbetreiber bei den dauerhaft nicht beeinflussbaren Kostenanteilen andererseits geschaffen und somit letztlich dem Grundsatz der Verhältnismäßigkeit entsprochen.</t>
  </si>
  <si>
    <t>Vorgeschlagen wird die Umstellung auf ein Modell mit linearem Abbaupfad der operativen Kosten. Dazu werden die in der EOG enthaltenen Kosten aus dem konventionellen Messstellenbetrieb (einschließlich Messung), ermittelt anhand des Kostenträgers Messstellenbetrieb aus der Verprobung abzüglich des individuellen Kapitalkosten-Anteils (CAPEX) des Netzbetreibers, gleichmäßig abgezogen. Ab dem Jahr 2033 ergeben sich entsprechend der Ausstattungsverpflichtungen von Messstellen mit mME nach § 29 Abs. 3 MsbG keine Kosten aus dem konventionellen Messstellenbetrieb beim Netzbetreiber mehr.
Die Beschlusskammer möchte dabei zur Diskussion stellen: Die Form des Abbaupfads, vorgeschlagen wird ein linearer Abbaupfad. Dabei wären besondere Anstrengungen in den Anfangsjahren des Rollouts ab dem Jahr 2024 wirtschaftlich vorteilhaft für den Netzbetreiber.</t>
  </si>
  <si>
    <t>Der Endpunkt des linearen Abbaupfades liegt bei einer Ausstattung mit modernen Messeinrichtungen (mME) und iMSys i.H.v. 95 % und belässt einen Sockelbetrag für Kosten für konventionelle Zähler i.H.v. 5 %.</t>
  </si>
  <si>
    <t>Soweit die Beschlusskammer ein Modell zur Abbildung des Kostenrückgangs für konventionelle Messeinrichtungen vorschlägt, wird dies von unserem Haus ausdrücklich begrüßt. Allerdings sehen wir auch hier Anpassungsbedarf. Denn die Beschlusskammer scheint der Auffassung zu sein, dass ab dem Jahr 2032 keine konventionellen Messeinrichtungen mehr betrieben werden. Diese Erwartung ist nicht zutreffend und wird vom Gesetzgeber in dieser Form auch nicht gestellt. 
Nach § 45 Abs. 1 Satz 1 Nr. 1c) MsbG erfüllt der grundzuständige Messstellenbetreiber seine Einbauverpflichtungen, sofern er bis zum 31. Dezember 2032 mindestens 95 % aller auszustattenden Messstellen mit intelligenten Messsystemen ausgestattet hat. § 29 Abs. 3 MsbG bestimmt zudem, dass grundzuständige Messstellenbetreiber bis zum Jahr 2032 Messstellen an ortsfesten Zählpunkten bei Letztverbrauchern und Anlagenbetreibern mindestens mit modernen Messeinrichtungen auszustatten haben, soweit das MsbG nicht die Ausstattung einer Messstelle mit intelligenten Messsystemen vorsieht. Diese Pflicht zur vollständigen Ausstattung mit modernen Messeinrichtungen unterliegt allerdings der Einschränkung der wirtschaftlichen Vertretbarkeit. Das heißt, soweit eine Ausstattung mit modernen Messeinrichtungen nicht i.S.d. § 32 MsbG wirtschaftlich vertretbar ist, hat eine Ausstattung auch nicht zu erfolgen. Damit geht der Gesetzgeber offensichtlich ebenfalls davon aus, dass auch nach dem Jahr 2032 weiterhin konventionelle Messeinrichtungen betrieben werden.
Daher ist es sachfremd, im Rahmen der Erlösobergrenzen davon auszugehen, dass ab dem Jahr 2033 keine operativen Kosten für konventionelle Messsysteme mehr anfallen werden. Um diesem Umstand gerecht zu werden, erachten wir eine Orientierung an den Ausstattungszielen des § 45 Abs. 1 Satz 1 Nr. 1c) MsbG für sachgerecht.</t>
  </si>
  <si>
    <t>Die Stellungnahme mittels Verwendung eines Excel-Formulars einreichen zu können, trägt aus unserer Sicht zur besseren Nachvollziehbarkeit sowie Übersicht bei und ist insofern begrüßenswert. Allerdings wäre es zur effizienteren Bearbeitung des Eckpunktepapiers wünschenswert, wenn Textpassagen aus dem BNetzA-Eckpunktepapier herauskopiert werden könnten und eine manuelle Übernahme des Originaltextes vermieden werden würde.</t>
  </si>
  <si>
    <t>Die Verpflichtung zum Rollout von intelligenten Messsystemen trifft weiterhin den grundzuständigen Messstellenbetreiber, dieser stellt die Rechnungen für die verbauten intelligenten Messsysteme an die Anschlussnutzer oder Anlagenbetreiber und spätestens ab dem 01.01.2024 auch an den Netzbetreiber.</t>
  </si>
  <si>
    <t>Die Verpflichtung zum Rollout von intelligenten Messsystemen trifft weiterhin den grundzuständigen als auch wettbewerblichen Messstellenbetreiber, diese stellen die Rechnungen für die verbauten intelligenten Messsysteme an die Anschlussnutzer oder Anlagenbetreiber und spätestens ab dem 01.01.2024 auch an den Netzbetreiber.</t>
  </si>
  <si>
    <t xml:space="preserve">Die Rolloutpflichten und -fristen tangieren insbesondere die grundzuständigen Messstellenbetreiber (gMSB). Jedoch kann auf Verlangen des Anschlussnutzers/Anschlussnehmers anstelle des gMSB zu jeder Zeit auch von einem Dritten sogenannten wettbewerblichen Messstellenbetreiber (wMSB) durchgeführt werden. Gemäß § 36 MsbG können auch die wMSB vom Anschlussnetzbetreiber Entgelte für den Messstellenbetrieb von intelligenten Messsystemen im Rahmen der zulässigen POG verlangen. Insofern ist eine Reduzierung auf die Entgelte des gMSB nicht sachgerecht. </t>
  </si>
  <si>
    <t>Im Rahmen der Anpassung der EOG (ab 2025 zum 31.12.2024) können alle Betreiber von Elektrizitätsversorgungsnetzen nach § 3 Nr. 2 EnWG unter einer neuen Position der dauerhaft nicht beeinflussbaren Kostenanteile im Erhebungsbogen Plankosten (t-0) für die Beteiligung an der POG von iMSys nach § 30 Abs. 1-3 MsbG ansetzen.</t>
  </si>
  <si>
    <t>Im Rahmen der Anpassung der EOG (ab 2025 zum 31.12.2024) können alle Betreiber von Elektrizitätsversorgungsnetzen nach § 3 Nr. 2 EnWG unter einer neuen Position der dauerhaft nicht beeinflussbaren Kostenanteile im Erhebungsbogen Plankosten (t-0) für die Beteiligung an der POG von iMSys nach § 30 Abs. 1-3 MsbG sowie vom Anschlussnetzbetreiber beauftragte Zusatzleistungen nach § 34 Abs. 2 und 3 MsbG ansetzen.</t>
  </si>
  <si>
    <t xml:space="preserve">Für die vom Anschlussnetzbetreiber beauftragten Zusatzleistungen, die erforderlich sind, um gesetzliche Regelungen und Festlegungen der Bundesnetzagentur umzusetzen, sollten die gleichen Regelungen wie die vom Anschlussnetzbetreiber zu tragenden Anteile an der POG gelten, um Benachteiligungen und Verzerrungen zu vermeiden. </t>
  </si>
  <si>
    <t>Die Planmenge ergibt sich grundsätzlich als Summe aus dem Endbestand an iMSys aus dem der Anpassung der EOG um zwei Jahre vorausgehenden Jahr (t-2) und dem Dreifachen des Zuwachses an iMSys im ersten Halbjahr des der Anpassung der EOG vorausgehenden Jahres (t-1). Die dreifache Berücksichtigung des Zuwachses an iMSys im ersten Halbjahr dient dazu, den voranschreitenden Rollout mit den aktuellsten Ist-Mengen zu prognostizieren. Alternativ kann der Netzbetreiber aktuelle Erkenntnisse in den Planansatz einfließen lassen.</t>
  </si>
  <si>
    <t>Der Ansatz von Planmengen sollte dem individuellem Rollout-Verhalten im Netzgebiet entsprechen, um auch Abweichungen über das Regulierungskonto zu minimieren. Ein pauschaler Ansatz umfasst zu viele Unwägbarkeiten und hätte für die Netzbetreiber mit einem linearen Ansatz einen verhältnismäßig hohen Forderungsbesand zu Folge. Insbesondere in der Hochlaufphase des Rollout ist ein pauschaler Ansatz aus der Ableitung historischer Werte nicht treffend und wurde zu unverhältnismäßig hohen Abweichungen im Regulierungskonto führen. 
Aus dem Eckpunktepapier erschließt sich die empirische Herleitung der Verdreifachung eines Halbjahres nicht.</t>
  </si>
  <si>
    <t>Jedes intelligente Messsystem wird bei der Anpassung der EOG in Höhe der tatsächlich vom Netzbetreiber zu tragenden Kosten höchstens jedoch in Höhe der maximalen Beteiligung an der POG von 80 € berücksichtigt.</t>
  </si>
  <si>
    <t>Jedes intelligente Messsystem wird bei der Anpassung der EOG in Höhe der tatsächlich vom Netzbetreiber zu tragenden Kosten höchstens jedoch in Höhe der maximalen Beteiligung an der POG gemäß der jeweils gültigen Fassung des MsbG berücksichtigt.</t>
  </si>
  <si>
    <t>Dynamische Verweisung: Der Bezug auf die Regelung im MsbG ist einer konkreten Bennung vorzuziehen, um im Falle einer Anpassung des MsbG immer auf die aktuellen gesetzlichen Regelungen zu referenzieren.</t>
  </si>
  <si>
    <t xml:space="preserve">Bei der Darstellung der Ist-Kosten hat der Netzbetreiber zwischen dem Pflichtrollout nach § 30 Abs. 1 und 2 MsbG und dem optionalen Rollout nach § 30 Abs. 3 MsbG zu unterscheiden. Der Netzbetreiber hat auch die Anzahl der Messstellen anzugeben, bei denen das Messentgelt unter der POG lag. </t>
  </si>
  <si>
    <t>Der Netzbetreiber hat die Ist-Kosten mittels einer Menge * Preis-Darstellung für die Positionen nach § 30 Abs. 1-3 MsbG sowie vom Anschlussnetzbetreiber beauftragte Zusatzleistungen nach § 34 Abs. 2 und 3 MsbG darzulegen.</t>
  </si>
  <si>
    <t>Die Erfassung, ob es sich um einen Pflichteinbau oder einen optionalen Einbau handelt, ist für den Abgleich aus Sicht des Anschlussnetzbetreibers nicht von Relevanz, maßgeblich ist der Anteil der Kosten, die der gMSB/wMSB an den ANB abrechnet - ggf. sind diese Kostenanteile auch identisch - je nach Preisbildung beim gMSB/wMSB - und daher vom ANB nicht zu unterscheiden
In der bisherigen Systematik des Regulierungskontos wird im Tabellenblatt "E1. Erzielb. Erlöse" auch über eine reine Mengen * Preis-Darstellung der Nachweis erbracht. In Abhängigkeit der von der Höhe der von den MSB erhobenen Anteilen nach § 30 Abs. 1 bis 3 und § 34 Abs. 2 und 3 MsbG für die ANB muss die Möglichkeit bestehen, mehrere Zeilen zubefüllen.</t>
  </si>
  <si>
    <t>Die Beschlusskammer diskutiert, den Kostenrückgang für konventionelle Messeinrichtungen durch den Einbau von modernen Messeinrichtungen und intelligenten Messsystemen nach § 5 Abs. 1 S. 3 ARegV ab dem Regulierungskonto des Jahres 2024 auf ein Modell mit vorgegebenen Abbaupfad bis zum Ende des Rollouts von modernen Messeinrichtungen im Jahr 2032 umzustellen.
[...]
Ab dem Jahr 2033 ergeben sich entsprechend der Ausstattungsverpflichtungen von Messstellen mit mME nach § 29 Abs. 3 MsbG keine Kosten aus dem konventionellen Messstellenbetrieb beim Netzbetreiber mehr.</t>
  </si>
  <si>
    <t>Es wäre zu begrüßen, den Abbaupfad bis zum Abschluss des Rollout intelligenter Messsysteme abzubilden, denn bis zum Rollout der letztem RLM-Messung in ein intelligentes Messsystem entstehen dem ANB Aufwendungen im konventionellen Messstellenbetrieb. § 45 Abs. 1 Satz 1 Nr. 1c) MsbG sieht hinsichtlich der Ausstattung mit iMSys bis zum 31.12.2032 ein verbindliches 95%-Ziel vor. Es ist folglich davon auszugehen, dass konventionelle Messsysteme nicht vollständig bis zum Jahr 2032 entfallen und entsprechend auch nach Ende des Jahres 2032 noch Kosten anfallen werden.</t>
  </si>
  <si>
    <t>Die Beschlusskammer diskutiert, den […] auf ein Modell mit vorgegebenem Abbaupfad bis Ende des Rollouts von modernen Messeinrichtungen im Jahr 2023 umzustellen. […] Vorgschlagen wird die Umstellung auf ein Modell mit linearem Abbaupfad der operativen Kosten. [...] Die Beschlusskammer möchte dabei zur Diskussion stellen: Den Aufsatzpunkt für die in der EOG enthaltenen Kosten aus dem konventionellen Messstellenbetrieb, vorgeschlagen wird das Jahr 2021.</t>
  </si>
  <si>
    <t>Die Beschlusskammer diskutiert, den […] auf ein Modell mit vorgegebenem Abbaupfad bis Ende des Rollouts von modernen Messeinrichtungen im Jahr 2023 umzustellen. […] Vorgschlagen wird die Umstellung auf ein Modell mit linearem Abbaupfad der variablen operativen Kosten (OPEX nach Abzug Sockelbetrag für remanenten Kosten). [...] Die Beschlusskammer möchte dabei zur Diskussion stellen: Den Aufsatzpunkt für die in der EOG enthaltenen Kosten aus dem konventionellen Messstellenbetrieb, vorgeschlagen wird das Jahr 2021.</t>
  </si>
  <si>
    <t>Ein pragmatischer Ansatz ist sinnvoll und anzustreben, um Aufwendungen bei den Beteiligten gering zu halten. Jedoch sollte dabei auch die sachgerechte Zuordnung von Kostenbestandteilen sichergestellt werden. Dies bedeutet, dass bei der Ermittlung der Basis für den Abbau die Kapitalkosten vorab eleminiert werden und diese weiterhin im regulären Prozess der regulatorischen Kapitalkosten-Anerkennung (KKAbgleich) Berücksichtigung finden. Hintergrund ist, dass insbesondere für RLM-Messstellen weiterhin Investitionen getätigt werden müssen, die angemessen zu verzinsen sind.
Die Kostenbasis des Jahres 2021 als Grundlage für den Abbaupfad ist nicht sachgerecht, weil die Preisentwicklungen, hier insbesondere die IT-Leistungen und Personalaufwendungen, dabei nicht in den (remanenten) Kosten Berücksichtigung findet. Der pauschale Ansatz eines linearen Abbaupfades spiegelt nicht die tatsächlichen Kostenverhältnisse der Netzbetreiber in der zeitlichen Entwicklung wider. Sofern an der Systematik seitens der BNetzA festgehalten wird, müsste mindestens die Inflation Berücksichtigung finden.
Die konkrete Verfahrensweise der Abbildung im Regulierungskonto bedarf einer tiefergehenden Erörterung. Hierbei ist insbesondere der Umgang mit den remanenten Kostenanteil zu prüfen und im Hinblick auf dessen Wirkung bei den spezfischen kMSB-Entgelten zu verifizieren. Die Entwicklung der spezfischen Preise für den kMSB würden aufgrund der linearer Abschmelzung und dem mit nicht linearem Rollout einer jährlichen Schwankung sowie einer drastischen Steigerung des spezifischen MSB-Entgeltes unterliegen - dies kann nicht im Sinne des Netzkunden sein. Insofern wäre es eine Möglichkeit, dass die kMSB-Preise des Jahres 2024 fixiert werden und das Delta zwischend en kMSB-Erlösen und ansatzfähigen jährlichen Kosten den Netzentgelten (AP, LP, GP) zugeordnet werden.</t>
  </si>
  <si>
    <t xml:space="preserve">Den Umgang mit den bei Netzzu- und abgängen übergehenden Kosten aus dem konventionellen Messstellenbetrieb. Vorgeschlagen wird, diese Kosten unberücksichtigt zu lassen. In Fällen von Netzübergängen wären die wirtschaftlichen Effekte zwischen den Parteien auszugleichen. </t>
  </si>
  <si>
    <t>Zu prüfen wäre eine konkrete Vorgehensweise, denn der wirtschaftliche (handelsrechtliche) Ausgleich müsste sich auch gegenüber den Netzkunden im Rahmen der EOG/NNE wider spiegeln.</t>
  </si>
  <si>
    <t>Dabei wären besondere Anstrengungen in den Anfangsjahren des Rollouts ab dem Jahr 2024 wirtschaftlich vorteilhaft für den Netzbetreiber.</t>
  </si>
  <si>
    <t>Der Rollout stellt für die Netzbetreiber und gMSB eine große Herausforderung dar, insbesondere die Beschaffung/Verfügbarkeit von Geräten sowie die Kontrahierung von Dienstleistern zur Durchführung des Rollout. Auch steigende Aufwendungen für den Betrieb der IT-Systeme wirken nachteilig. Insofern ist zunächst von steigenden Kosten auszugehen gegenüber der Kostenbasis das Jahres 2021.</t>
  </si>
  <si>
    <t>Bereits bis zum Jahr 2032 wird jährlich konventionelle Messtechnik in den Rollout einbezogen, die das Ende der kalkulatorischen Nutzungsdauer noch nicht erreicht haben. Diese sind angemessen dem Netzbetreiber kostenseitig anzuerkennen. Eine vereinfachende Abbildung im Rahmen der Kostenprüfungen mit Blick auf die vorangegangenen Jahren scheint vorstellbar.
Die Verluste aus vorzeitigem Anlagenabgang werden für konventionelle Messtechnik in den folgenden Jahren zunehmen.</t>
  </si>
  <si>
    <t>Der über den gesamten Abbaupfad gleichbleibende Sockelbetrag muss zu Beginn des Abbaupfades sachgerecht ermittelt und im zeitlichen Verlauf mindestens gegenüber dem Basisjahr 2021 inflationiert werden. Entsprechend der bisher von der BNetzA praktizierten Verfahrensweise sollte der Sockelbetrag mindestens 25% der OPEX des Basisjahres 2021 betragen.</t>
  </si>
  <si>
    <t xml:space="preserve">Bei gesicherten Erkenntnissen hinsichtlich der im betreffenden Jahr eingebauten Mengen für die intelligenten Messsysteme sollte es den Verteilernetzbetreibern ermöglicht werden, von dem vorgesehenen pauschalen Ansatz abzuweichen. 
Wir favourisieren einen Ansatz ähnlich dem KKauf-Plankostenansatz. Aus unserer Sicht sollten die Plankosten auf der Basis gesicherter individueller Erkenntnisse des NB zu den Planmengen ermittelt und angesetzt werden.
Jedenfalls sollte der gesetzlich vorgesehene (Mindest-)Rollout-Fahrplan (vgl. § 45 MsbG) bei der Ermittlung der ansatzfähigen Kosten abgebildet werden können.
</t>
  </si>
  <si>
    <t xml:space="preserve">Nach dem zur Konsultation gestellten Eckpunktepapier sollen die unserem Unternehmen nach § 3 Abs. 1 i.V.m. § 7 MsbG entstehenden Kosten für die Ausstattung von Letztverbrauchern mit intelligenten Messsystemen (sog. anteilige Preisobergrenze) ab dem Jahr 2025 in voller Höhe als dauerhaft nicht beeinflussbare Kostenanteile eingestuft werden.
Grundsätzlich ist das von Ihrer Behörde insoweit beabsichtigte Vorgehen nach unserer Auffassung zwar zu begrüßen, da hierdurch ab dem Jahr 2025 eine jährliche Abbildung dieser zusätzlichen Kosten während der laufenden 4. Regulierungsperiode durch unser Unternehmen ermöglicht wird. 
Allerdings sind die von Ihnen beabsichtigten Vorgaben zur Ermittlung der ansatzfähigen Plankosten kritisch zu hinterfragen.
Ausweislich des Eckpunktepapiers sollen zur Ermittlung der ansatzfähigen Plankosten die Planmengen für die intelligenten Messsysteme (iMSys) im betreffenden Jahr mit den anteiligen Preisobergrenzen multipliziert werden. Die hiernach heranzuziehenden Planmengen sollen wiederum durch Summierung der aus dem Endbestand an iMSys aus dem der Anpassung der Erlösobergrenze um zwei Jahre vorausgehenden Jahr (t-2) und dem Dreifachen des Zuwachses an iMSys im ersten Halbjahr der Anpassung der Erlösobergrenze des vorausgehenden Jahres (t-1) zu ermitteln sein. Dieser starre und pauschale Regelungsvorschlag trägt dem Umstand, dass das Messstellenbetriebsgesetz in § 45 verbindliche Ziele und einen konkreten Zeitrahmen für die Einführung von iMSys vorsieht, nicht in angemessener Weise Rechnung. Es bedarf daher einer Flexibilisierung der anzusetzenden Mengen; beim Vorliegen von gesicherten Erkenntnissen muss dem Netzbetreiber ermöglicht werden, von dem pauschalen Planmengenansatz abzuweichen.
Durch den starren Ansatz und dem zumindest in unserem Netzgebiet erst anlaufenden Umbau, sehen wir durch den Vergangenheitsbezug eine Benachteiligung für NB (wie uns) die in den kommenden Jahren mit exponentiell wachsenden Umbauraten rechnen.  Die Benachteiligung durch den aktuellen Vorschlag besteht darin, dass in diesen Fällen kontinuierlich zu geringe Kosten in die EOG verrechnet werden dürfen, die zwar durch den Ist-Abgleich geheilt werden allerdings erst mit einem Verzug von bis zu 5 Jahren. Durch die Kapitalbindung in Kombination mit dem niedrigen Zinssatz auf das Regulierungskontosaldo im Vgl. zu den aktuell marktüblichen Zinsätzen kommt es zu Ertragseinbußen. Durch einen Planansatz auf Basis individueller gesicherter Planmengen würde dem vorgebeugt werden. </t>
  </si>
  <si>
    <t>Siehe Nr. 4</t>
  </si>
  <si>
    <t>Siehe Nr. 7</t>
  </si>
  <si>
    <t xml:space="preserve">Der Ansatz einer Remanenzkostenpauschale ist aus unserer Sicht notwendig, da nicht sämtliche Kosten des Messtellenbetriebs im gleichen Verhältnis sinken wie die Anzahl der konventionellen Messeinrichtungen. </t>
  </si>
  <si>
    <t xml:space="preserve">Es ist zu diskutieren, ob die remanenten Kosten über die Netzentgelte zu refinanzieren sind und aus dem Entgelt des konventionellen Messstellenbetriebes entfallen. </t>
  </si>
  <si>
    <t xml:space="preserve">Es ist zu diskutieren, ob die Kapitalkosten über die Netzentgelte zu refinanzieren sind und aus dem Entgelt des konventionellen Messstellenbetriebes entfallen. </t>
  </si>
  <si>
    <t xml:space="preserve">Die Investitionen des konventionellen Messstellenbetriebes müssen vollständig durch den Netzbetreiber refinanziert werden können. </t>
  </si>
  <si>
    <t>Eckpunkte zur Festlegung Kosten des Messwesens</t>
  </si>
  <si>
    <t>Siehe beigefügte Datei "Stellungnahme"</t>
  </si>
  <si>
    <t>Bei der Anpassung der EOG des Jahres 2024 findet die Beteiligung der Netzbetreiber an der POG von iMSys keine Berücksichtigung, da die Festlegung erst im Jahr 2024 in Kraft tritt: Dies entspricht einem Plankostenansatz von 0 € für das Jahr 2024.</t>
  </si>
  <si>
    <t>Bei der Anpassung der EOG des Jahres 2024 konnte ein Planansatz noch keine Berücksichtigung finden, da die Neuregelung zum Zeitpunkt der EOG-Anpassung noch nicht abschließend bestimmt war. Um diese Planungslücke zu schließen, werden die in 2024 entstehenden Kosten in der EOG 2025 berücksichtigt. Somit wird für die Netzbetreiber ein zeitnaher finanzieller Rückfluss ermöglicht (andernfalls würden die Beträge erst in den Jahren 2027 – 2029 über das Regulierungskonto refinanziert).</t>
  </si>
  <si>
    <t>Es wird eine zeitnahe Refinaanzierung der in 2024 entstandenen Kosten ermöglicht. In der bestehenden Fassung würden erst in den Jahren 2027 bis 2029 ein Rückfluss erfolgen.</t>
  </si>
  <si>
    <t xml:space="preserve">Vorgeschlagen wird die Umstellung auf ein Modell mit linearem Abbaupfad der operativen Kosten. Dazu werden die in der EOG enthaltenen Kosten aus dem konventionellen Messstellenbetrieb (einschließlich Messung), ermittelt anhand des Kostenträgers Messstellenbetrieb aus der Verprobung abzüglich des individuellen Kapitalkosten-Anteils (CAPEX) des Netzbetreibers, gleichmäßig abgezogen. </t>
  </si>
  <si>
    <t>Die Ausstattungsverpflichtungen des § 45 Abs. 1 und 2 MsbG sehen vor, dass die Rolloutfristen bei den RLM-Kunden mehrere Jahre nach den SLP-Kunden erfolgen. Darüber hinaus ist im MsbG eine Toleranz-schwelle von 5 Prozent der vorhandenen klassischen Zähler vorgesehen, die nicht durch moderne Messeinrichtungen oder intelligente Messysteme ersetzt werden müssen (Stichworte kommunikative Erreich-barkeit der iMSys und Widerstände der Kunden beim Einbau). Deshalb muss der lineare Abbaupfad auf eine Weise ausgestaltet sein, dass nicht der komplette Abbau der Kosten auf null als Endpunkt angenommen wird, sondern bis auf weiteres mindestens 5 Prozent der Kosten des Jahres 2021 in der EOG verbleiben.</t>
  </si>
  <si>
    <t>Den Aufsatzpunkt für die in der EOG enthaltenen Kosten aus dem konventionellen Messstellenbetrieb für SLP Kunden, vorgeschlagen wird das Jahr 2021. Für RLM Kunden ist auf das Jahr 2025 anzusetzen. Eine pauschale Aufteilung des Kostenblocks für das Messwesen aus dem Jahr 2021 kann über eine Gewichtung aus der jeweils vorhandenen Anzahl der Zähler, multipliziert mit dem hierfür vereinnahmten Messentgelt erfolgen.</t>
  </si>
  <si>
    <t xml:space="preserve">Der Beginn des linearen Abbaupfads für intelligente Messsysteme (iMS) sollte sich an den nach MsbG vorgegebenen Ausstattungsverpflichtungen orientieren. 
Der Endpunkt des linearen Abbaupfades sollte von einer Ausstattungsverpflichtung von modernen Messeinrichtungen (mME) und iMSys i.H.v. 95 % ausgehen.
</t>
  </si>
  <si>
    <t>Unser Unternehmen begrüßt das von der BNetzA vorgeschlagene Modell zur Abbildung des Kostenrückgangs für konventionelle Messseinrichtungen durch den Einbau von mME und iMSys im Regulierungskonto. 
Hinsichtlich des Beginns des linearen Abbaupfads weisen wir darauf hin, dass nach dem Eckpunktepapier bereits ab 2024 der Abbaupfad gelten soll, gemäß § 45 Abs. 1 MsbG für intelligente Messsysteme (iMS) jedoch erst ab dem Jahr 2025 eine verpflichtende Vorgabe zur Ausstattung besteht. Entsprechend sehen wir ohne verpflichtenden Rollout auch keine Möglichkeit, schon vor 2025 einen Abbaupfad festzulegen.
Hinsichtlich des Endpunktes des vorgeschlagenen linearen Abbaupfades weisen wir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künftig nicht vollständig entfallen und entsprechend auch nach Ende des Jahres 2032 noch operative Kosten anfallen werden.</t>
  </si>
  <si>
    <t>Bei gesicherten Erkenntnissen hinsichtlich der im betreffenden Jahr eingebauten Mengen für die intelligenten Messsysteme sollte es den Verteilernetzbetreibern ermöglicht werden, von dem vorgesehenen pauschalen Ansatz abzuweichen. Jedenfalls sollte der gesetzlich vorgesehene (Mindest-)Rollout-Fahrplan (vgl. § 45 MsbG) bei der Ermittlung der ansatzfähigen Kosten abgebildet werden können.                                                                                   Fazit: Ansatz der Planmengen ist willkürlich; keine belastbare Grundlage für Vorjahreswert + 3*Halbjahreswert  ///                                                                                                     Alternative:
Planmengen des grundzuständigen Messstellenbetreibers nutzen; selbst eine 
lineare Verteilung der Kosten über den Pflichteinbauzeitraum wäre für kleinere Netzbetreiber vermutlich passender.</t>
  </si>
  <si>
    <t xml:space="preserve">Der Endpunkt des linearen Abbaupfades sollte von einer Ausstattungsverpflichtung von modernen Messeinrichtungen (mME) und iMSys i.H.v. 95 % ausgehen. Aber auch hier sollte es den Verteilernetzbetreibern bei gesicherten Erkenntnissen hinsichtlich der im betreffenden Jahr abgebauten Mengen für die konventionellen Zähler ermöglicht werden, von dem vorgesehenen pauschalen (linearen) Ansatz abzuweichen.                                                                   Der Einfachheit halber sollten die jeweiligen konventionellen MSB-Kosten pro Zähler (PB des entsprechenden Jahres) beim Abzug in Ansatz gebracht werden. Weiterhin wäre ein fixer Kostenanteil für das Betreiben des konventionellen MSB´s zu berücksichtigen. Dieser fixe Kostenanteil wird bis zum Ende des konventionellen Messstellenbetrieb in ähnlicher absoluten Höhe vorhanden sein und damit prozentual mit den Kostenantei ansteigen!      </t>
  </si>
  <si>
    <t>Unser Unternehmen begrüßt das von der BNetzA vorgeschlagene Modell zur Abbildung des Kostenrückgangs für konventionelle Messseinrichtungen durch den Einbau von mME und iMSys im Regulierungskonto. Hinsichtlich des Endpunktes des vorgeschlagenen linearen Abbaupfades weisen wir jedoch darauf hin, dass dieser ausgehend von den gesetzlichen Regelungen nicht bis auf "Null" zurückgeführt werden sollte. § 45 Abs. 1 Satz 1 Nr. 1c) MsbG sieht hinsichtlich der Ausstattung mit iMSys bis zum 31.12.2032 ein verbindliches 95%-Ziel vor. Es ist folglich davon auszugehen, dass konventionelle Messsysteme künftig nicht vollständig entfallen und entsprechend auch nach Ende des Jahres 2032 noch operative Kosten anfallen werden.                                                                                                                                                                                                                                                     Der Einfachheit halber sollten die jeweiligen konventionellen MSB-Kosten pro Zähler (PB des entsprechenden Jahres) beim Abzug in Ansatz gebracht werden. Weiterhin wäre ein fixer Kostenanteil für das Betreiben des konventionellen MSB´s zu berücksichtigen. Dieser fixe Kostenanteil wird bis zum Ende des konventionellen Messstellenbetrieb in ähnlicher absoluten Höhe vorhanden sein und damit prozentual mit den Kostenantei ansteigen! Nach dem Ende des Zählerrollouts werden sich noch ca. 5 % konventionelle Zähler in Stromnetz befinden. Für den Betrieb dieser Zähler muss es auch weiterhin einen EOG-Betrag für die Abwickung der damit zusammenhängenden MSB-Arbeiten geben. Dieser Betrag sollte sich an dem vorerwähnten fixen Kostenanteil für den konventionellen MSB orientieren.</t>
  </si>
  <si>
    <t>BNetzA These: Entfall von Kosten im konventionellen Messstellenbetrieb</t>
  </si>
  <si>
    <t>Der lineare Abbaupfad ist aus mehreren Gründen nicht sachgerecht:
Es wird unterstellt, dass keine Systemkosten bzw. Kosten unabhängig von der Anzahl der verbliebenen konventionellen Messeinrichtungen existieren. Z.B. müssen IT Systeme vorgehalten werden.
Alternative: Es wird zwischen anzahlabhängigen und anzahlunabhängigen Kosten unterschieden. Nur die anzahlabhängigen Kosten werden abgebaut.</t>
  </si>
  <si>
    <t>Entwicklung der kalkulatorischen Restwerte der konventionellen Messeinrichtungen.</t>
  </si>
  <si>
    <t>Abschreibungen für ausgebaute konv. Messeinrichtungen:
Es muss davon ausgegangen werden, dass für demontierte konventionelle Messeinrichtungen
Sonderabschreibungen anfallen. Diese werden beim linearen Abbau der Kosten nicht berücksichtigt.</t>
  </si>
  <si>
    <t>beim möglichen Aufsatzpunkt für die in der EOG enthaltenen konventionellen Messkosten mit dem Jahr 2021 müssten die Inflationseffekte berücksichtigt werden</t>
  </si>
  <si>
    <t>Ergänzung beim Planansatz, dass andere Werte angewendet werden können, wenn gesicherte Erkennisse vorliegen</t>
  </si>
  <si>
    <t>exogene Faktoren (fehlende Technik, Kapazitätsprobleme bei Lieferanten/Herstellern u.ä.) können Roll out im ersten Halbjahr verzögern und somit unplausible Planwerte nach sich ziehen und somit finanzwirtschaftliche Nachteile verursachen</t>
  </si>
  <si>
    <t>Erläuterungen zum Abbaupfad der Jahre 2022/2023 sollten ergänzt werden</t>
  </si>
  <si>
    <t>für 2022/2023 werden aktuell entsprechend der Logik 4. RP die getauschten mME/iMSys im RegK berücksicht. Ein linearer Ansatz ab 2021 könnte dazu führen, dass für die Jahre 2022/2023 andere Werte berücksichtigt werden und somit einerseits der Ausgangswert 2024 nicht eindeutig ist und andererseits Nachholungen (positiv oder negativ) für die Jahre 2022 und 2023 folgen könnten</t>
  </si>
  <si>
    <t>Vorgeschlagen wird die Umstellung auf ein Modell mit linearem Abbaupfad der operativen Kosten.</t>
  </si>
  <si>
    <t xml:space="preserve">Vorgeschlagen wird die Umstellung auf ein Modell mit linearem Abbaupfad der operativen Kosten zzgl. einer Inflationsbereinigung. </t>
  </si>
  <si>
    <t>bei einem Abbaupfad rein unter Berücksichtigung der Kosten 2021 wird insbesondere der inflationsbedingte Kostenanstieg seit 2021 bis zum Jahr 2032 nicht berücksichtigt. Deshalb ist der lineare Abbaupfad um solche Inflationseffekte zu dämpfen.</t>
  </si>
  <si>
    <t>Paragraph 45 MsbG sieht vor, dass lediglich 95% der modernen Messgeräte und intelligenten Messsysteme innerhalb von zehn Jahren ausgerollt sein müssen. Deshalb sollte der Abbaupfad nach zehn Jahren nicht bei null enden. Um die gewünschte Beschleunigung des Rollouts der POG-regulierten Messgeräte tatsächlich erreichen zu können, bräuchte es das Vertrauen der Netzbetreiber, dass der mit vorliegendem Eckpunktepapier ausgeprägte Anreiz auch Bestand haben wird. Es wäre daher wichtig, dass die zu erfolgende Festlegung den Abbaupfad verbindlich fixiert. In der regulierungspraktischen Umsetzung würde dies für die Kostenprüfungen mit Bezug zum nächsten Basisjahr bedeuten, dass die dort von den Netzbetreibern anzuzeigenden operativen Betriebsaufwendungen für den konventionellen Messstellenbetrieb inklusive Messung für die Ermittlung der Erlösobergrenzen der fünften Regulierungsperiode keine Rolle spielen dürften. Die entsprechenden Anteile an den Erlösobergrenzen der fünften Regulierungsperiode würden sich dann weiterhin nur aus den anerkannten Kosten des Basisjahres 2021 (sowie des Verbraucherpreisindex und des generellen sektoralen Produktivitätsfortschritts) ergeben. Sollten Netzbetreiber dagegen die Option erkennen oder befürchten müssen, dass die Regulatorik den bisherigen Abbaupfad beispielsweise ab 2029 von einem neuen – initial abgesenkten – Niveau bis Ende 2032 weiterlaufen ließe, würde ein kontraproduktives Signal gesetzt werden. Netzbetreibern, die innerhalb der vierten Regulierungsperiode den Rollout der POG-regulierten Messgeräte stark beschleunigt hätten, würde man große Anteile ihrer ihnen in Aussicht gestellten möglichen Gewinne in der fünften Regulierungsperiode plötzlich wieder entziehen. Dies käme einer Abschöpfung der im Vertrauen auf die Festlegung entsprechend des Eckpunktepapiers und infolge des beschleunigten Rollouts durch den Netzbetreiber sich dann planmäßig ergebender Gewinne in der fünften Regulierungsperiode gleich. Für den Fall, dass ein Netzbetreiber geringere Mengen als in der Vergangenheit ausrollen wird, könnten so Mehrerlöse vermieden werden. Ein solcher Fall könnte z.B. infolge von Kapazitätsproblemen eintreten. Sollte ein beschleunigter Rollout von intelligenten Messsystemen gelingen, könnte ein solcher Fall auch zum Ende der zehnjährigen Rolloutphase eintreten, weil dann nur noch weniger Geräte als vorher ausgerollt werden müssen. Umgekehrt kann es aber auch sein, dass es dem Netzbetreiber gelingt, einen sehr viel schnelleren Rollout von intelligenten Messsystemen zu realisieren. Dies müsste der Netzbetreiber dann, z.B. anhand entsprechender Verträge, gegenüber der Regulierungsbehörde belegen.</t>
  </si>
  <si>
    <t>Nr.</t>
  </si>
  <si>
    <t>Randziffer</t>
  </si>
  <si>
    <t>Originaltext</t>
  </si>
  <si>
    <t>Vorgeschlagene Änderung</t>
  </si>
  <si>
    <t>Begründung</t>
  </si>
  <si>
    <t>Marktrolle</t>
  </si>
  <si>
    <t>Einreicher</t>
  </si>
  <si>
    <t>VNB</t>
  </si>
  <si>
    <t>NETCUR GmbH</t>
  </si>
  <si>
    <r>
      <t xml:space="preserve">(1) Der Messstellenbetrieb ist Aufgabe des grundzuständigen Messstellenbetreibers, soweit nicht eine anderweitige Vereinbarung nach § 5 oder § 6 getroffen worden ist. Die Funktion des Smart-Meter-Gateway-Administrators wird dem Messstellenbetreiber zugeordnet. Schuldner der nach § 7 Absatz 1 Satz 1 festzulegenden Messentgelte sind nach Maßgabe der §§ 29, 30, 32 und 36 Absatz 2 und jeweils in Höhe ihrer dort festgelegten Anteile der Anschlussnetzbetreiber und der Anschlussnutzer. Schuldner der Entgelte für Zusatzleistungen ist nach Maßgabe von § 34 Absatz 2 und 3 jeweils der Besteller von Zusatzleistungen. Hat der Anschlussnutzer einen kombinierten Vertrag nach § 9 Absatz 2 und der Energielieferant mit dem Messstellenbetreiber einen Vertrag nach § 9 Absatz 1 Nummer 2 abgeschlossen, ist insoweit statt des Anschlussnutzers der Energielieferant Schuldner nach Satz 1. Der grundzuständige Messstellenbetreiber </t>
    </r>
    <r>
      <rPr>
        <sz val="11"/>
        <color theme="6"/>
        <rFont val="Calibri"/>
        <family val="2"/>
        <scheme val="minor"/>
      </rPr>
      <t>könnte in beschränkten Fällen berechtigt sein</t>
    </r>
    <r>
      <rPr>
        <sz val="11"/>
        <color rgb="FF000000"/>
        <rFont val="Calibri"/>
        <family val="2"/>
        <scheme val="minor"/>
      </rPr>
      <t xml:space="preserve">, für die Erbringung der Standardleistungen nach § 34 Absatz 1 mehr als die in § 30 jeweils genannten Höchstentgelte und für die Erbringung von Zusatzleistungen nach § 34 Absatz 2 mehr als die in § 35 Absatz 1 jeweils genannten Höchstentgelte vom jeweiligen Entgeltschuldner zu verlangen; für den nach den §§ 5 oder 6 beauftragten Dritten gelten gegenüber dem Anschlussnetzbetreiber die Vorgaben des § 36 Absatz 2. Dies hängt von der technologischen Ausgereiftheit des verwendeten intelligenten Zählers ab und dient dazu, Anreize für den Einsatz fortschrittlicherer Technologie in der bestehenden Strominfrastruktur zu schaffen. </t>
    </r>
    <r>
      <rPr>
        <sz val="11"/>
        <color theme="5"/>
        <rFont val="Calibri"/>
        <family val="2"/>
        <scheme val="minor"/>
      </rPr>
      <t>Diese flexible Kostenteilungsoption hängt von der technologischen Ausgereiftheit des verwendeten intelligenten Zählers ab und dient dazu, Anreize für die Nutzung fortschrittlicherer Technologien in der bestehenden Strominfrastruktur zu schaffen.</t>
    </r>
  </si>
  <si>
    <r>
      <t>Der Ansatz der Plankosten aufgrund der im Papier beschrieben Planmenge - z.B. IST-Menge (2023)+ [Ist-Zuwachs (01.01.2024-30.06.2026)]*</t>
    </r>
    <r>
      <rPr>
        <b/>
        <sz val="11"/>
        <color rgb="FFFF0000"/>
        <rFont val="Calibri"/>
        <family val="2"/>
        <scheme val="minor"/>
      </rPr>
      <t>3</t>
    </r>
    <r>
      <rPr>
        <sz val="11"/>
        <color theme="1"/>
        <rFont val="Calibri"/>
        <family val="2"/>
        <scheme val="minor"/>
      </rPr>
      <t xml:space="preserve"> - ist </t>
    </r>
    <r>
      <rPr>
        <b/>
        <sz val="11"/>
        <color theme="1"/>
        <rFont val="Calibri"/>
        <family val="2"/>
        <scheme val="minor"/>
      </rPr>
      <t>nur im eingeschwungenen Zustand</t>
    </r>
    <r>
      <rPr>
        <sz val="11"/>
        <color theme="1"/>
        <rFont val="Calibri"/>
        <family val="2"/>
        <scheme val="minor"/>
      </rPr>
      <t xml:space="preserve"> des Rollouts bzw. des Zubaus von EE-Anlagen sachgerecht. 
Insbesondere bei den folgenden Szenarien passt diese Annahme nicht mehr:
1.
In Netzen, in denen energiewendebedingt und aufgrund der aktuellen gesetzlichen Rahmenbedingungen eine stetig steigende Zahl von EE-Anlagen zugebaut wird (diese werden ebenfalls mit einem iMSys ausgerüstet), muss dieser Entwicklung - die als zusätzliche Dynamik zu den rein bezugsseitigen Zählern hinzukommt - bereits im Plansatz Rechnung getragen werden, da ansonsten die Netzbetreiber mit hohem EE-Anteil zusätzlich in hohe Vorfinanzierung gehen müssen.
2.
Ist ein grundzuständiger intelligenter MSB (giMSB) beim Rollout der iMSys noch in der Hochlaufphase, liefert eine Mengenannahme aufgrund von Ist-Werten aus der Vergangenheit keine sachgerechte Größenordnung. Im Rollout (Umbau konv. MSB auf giMSB) findet dieser Hochlauf zum Teil noch bis 2026 statt. Befindet sich der Netzbetreiber noch in der Hochlaufphase, so ergäben sich ausgehend von dieser niedrigen Menge auch nur niedrige, nicht sachgerechte Planwerte. 
Gerade die Hochlaufphase ist gekennzeichnet von Uneinheitlichkeit beim Fortschritt des Umbaus bei den Netzbetreibern. So kann es aufgrund von Problemen bei technischen Funktionalitäten und Ausführungsqualitäten bei Dienstleistern die Situation geben, dass ein niedriger  Umsetzungsgrad vorliegt, und sich durch die Formel damit eine nicht sachgerechte, da zu niedrige Planmenge ergäbe.
Es muss folglich eine individuelle Planung des Netzbetreibers für die Planmenge und damit der Plankosten möglich sein, wenn eine vergangenheitsbezogene Planmenge die zukünftige Entwicklung nicht mehr annähernd abgedeckt.
Individuelle Gegebenheiten müssen berücksichtigt werden können (iMSys-Geräte nicht am Markt verfügbar, ungenügende Ausführungsqualitäten bei Dienstleistern, die möglw. zu einem kurzfristigen Wechsel des Dienstleisters zwingen), wenn dadurch Abweichungen zum Planansatz entstehen. </t>
    </r>
  </si>
  <si>
    <t>Stadtwerke Pritzwalk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</si>
</sst>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0_);[Red]\(&quot;€&quot;#,##0\)"/>
  </numFmts>
  <fonts count="6" x14ac:knownFonts="1">
    <font>
      <sz val="11"/>
      <color theme="1"/>
      <name val="Calibri"/>
      <family val="2"/>
      <scheme val="minor"/>
    </font>
    <font>
      <b/>
      <sz val="11"/>
      <color theme="1"/>
      <name val="Calibri"/>
      <family val="2"/>
      <scheme val="minor"/>
    </font>
    <font>
      <sz val="11"/>
      <color rgb="FF000000"/>
      <name val="Calibri"/>
      <family val="2"/>
      <scheme val="minor"/>
    </font>
    <font>
      <sz val="11"/>
      <color theme="6"/>
      <name val="Calibri"/>
      <family val="2"/>
      <scheme val="minor"/>
    </font>
    <font>
      <sz val="11"/>
      <color theme="5"/>
      <name val="Calibri"/>
      <family val="2"/>
      <scheme val="minor"/>
    </font>
    <font>
      <b/>
      <sz val="11"/>
      <color rgb="FFFF0000"/>
      <name val="Calibri"/>
      <family val="2"/>
      <scheme val="minor"/>
    </font>
  </fonts>
  <fills count="5">
    <fill>
      <patternFill patternType="none"/>
    </fill>
    <fill>
      <patternFill patternType="gray125"/>
    </fill>
    <fill>
      <patternFill patternType="solid">
        <fgColor rgb="FFFFFFFF"/>
        <bgColor rgb="FFFFFFFF"/>
      </patternFill>
    </fill>
    <fill>
      <patternFill patternType="solid">
        <fgColor rgb="FFEEF1F6"/>
        <bgColor rgb="FFEEF1F6"/>
      </patternFill>
    </fill>
    <fill>
      <patternFill patternType="solid">
        <fgColor theme="3" tint="0.3999755851924192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30">
    <xf numFmtId="0" fontId="0" fillId="0" borderId="0" xfId="0"/>
    <xf numFmtId="0" fontId="0" fillId="0" borderId="2" xfId="0" applyNumberFormat="1" applyFont="1" applyBorder="1" applyAlignment="1" applyProtection="1">
      <alignment horizontal="left" vertical="top" wrapText="1"/>
      <protection locked="0"/>
    </xf>
    <xf numFmtId="0" fontId="1" fillId="4" borderId="0" xfId="0" applyFont="1" applyFill="1"/>
    <xf numFmtId="0" fontId="0" fillId="0" borderId="0" xfId="0" applyFont="1"/>
    <xf numFmtId="0" fontId="0" fillId="0" borderId="1" xfId="0" applyFont="1" applyBorder="1" applyAlignment="1">
      <alignment horizontal="left" vertical="top"/>
    </xf>
    <xf numFmtId="0" fontId="0" fillId="0" borderId="1" xfId="0" applyNumberFormat="1" applyFont="1" applyBorder="1" applyAlignment="1" applyProtection="1">
      <alignment horizontal="left" vertical="top" wrapText="1"/>
      <protection locked="0"/>
    </xf>
    <xf numFmtId="0" fontId="0" fillId="0" borderId="2" xfId="0" applyFont="1" applyBorder="1" applyAlignment="1" applyProtection="1">
      <alignment horizontal="left" vertical="top" wrapText="1"/>
      <protection locked="0"/>
    </xf>
    <xf numFmtId="0" fontId="0" fillId="0" borderId="3" xfId="0" applyFont="1" applyBorder="1" applyAlignment="1">
      <alignment horizontal="left" vertical="top"/>
    </xf>
    <xf numFmtId="0" fontId="0" fillId="0" borderId="1" xfId="0" applyFont="1" applyBorder="1" applyAlignment="1" applyProtection="1">
      <alignment horizontal="left" vertical="top"/>
      <protection locked="0"/>
    </xf>
    <xf numFmtId="0" fontId="0" fillId="0" borderId="1" xfId="0" applyFont="1" applyBorder="1" applyAlignment="1" applyProtection="1">
      <alignment horizontal="left" vertical="top" wrapText="1"/>
      <protection locked="0"/>
    </xf>
    <xf numFmtId="0" fontId="0" fillId="0" borderId="1" xfId="0" applyNumberFormat="1" applyFont="1" applyBorder="1" applyAlignment="1" applyProtection="1">
      <alignment horizontal="left" vertical="top"/>
    </xf>
    <xf numFmtId="0" fontId="0" fillId="0" borderId="1" xfId="0" applyNumberFormat="1" applyFont="1" applyBorder="1" applyAlignment="1" applyProtection="1">
      <alignment horizontal="left" vertical="top"/>
      <protection locked="0"/>
    </xf>
    <xf numFmtId="0" fontId="0" fillId="0" borderId="1" xfId="0" quotePrefix="1" applyFont="1" applyBorder="1" applyAlignment="1">
      <alignment horizontal="left" vertical="top"/>
    </xf>
    <xf numFmtId="0" fontId="2" fillId="2" borderId="2" xfId="0" applyFont="1" applyFill="1" applyBorder="1" applyAlignment="1">
      <alignment horizontal="left" vertical="top" wrapText="1"/>
    </xf>
    <xf numFmtId="0" fontId="2" fillId="2" borderId="1" xfId="0" applyFont="1" applyFill="1" applyBorder="1" applyAlignment="1">
      <alignment horizontal="left" vertical="top" wrapText="1"/>
    </xf>
    <xf numFmtId="0" fontId="0" fillId="0" borderId="1" xfId="0" applyFont="1" applyBorder="1" applyAlignment="1">
      <alignment horizontal="left" vertical="top" wrapText="1"/>
    </xf>
    <xf numFmtId="0" fontId="2" fillId="3" borderId="2" xfId="0" applyFont="1" applyFill="1" applyBorder="1" applyAlignment="1">
      <alignment horizontal="left" vertical="top" wrapText="1"/>
    </xf>
    <xf numFmtId="0" fontId="2" fillId="0" borderId="1" xfId="0" applyFont="1" applyBorder="1" applyAlignment="1" applyProtection="1">
      <alignment horizontal="left" vertical="top" wrapText="1"/>
      <protection locked="0"/>
    </xf>
    <xf numFmtId="0" fontId="0" fillId="0" borderId="1" xfId="0" quotePrefix="1" applyFont="1" applyBorder="1" applyAlignment="1" applyProtection="1">
      <alignment horizontal="left" vertical="top" wrapText="1"/>
      <protection locked="0"/>
    </xf>
    <xf numFmtId="0" fontId="2" fillId="0" borderId="1" xfId="0" applyNumberFormat="1" applyFont="1" applyBorder="1" applyAlignment="1" applyProtection="1">
      <alignment horizontal="left" vertical="top" wrapText="1"/>
      <protection locked="0"/>
    </xf>
    <xf numFmtId="0" fontId="0" fillId="0" borderId="3" xfId="0" applyFont="1" applyBorder="1" applyAlignment="1" applyProtection="1">
      <alignment horizontal="left" vertical="top"/>
      <protection locked="0"/>
    </xf>
    <xf numFmtId="0" fontId="0" fillId="0" borderId="0" xfId="0" applyFont="1" applyBorder="1" applyAlignment="1" applyProtection="1">
      <alignment horizontal="left" vertical="top" wrapText="1"/>
      <protection locked="0"/>
    </xf>
    <xf numFmtId="0" fontId="0" fillId="0" borderId="3" xfId="0" applyFont="1" applyBorder="1" applyAlignment="1" applyProtection="1">
      <alignment horizontal="left" vertical="top" wrapText="1"/>
      <protection locked="0"/>
    </xf>
    <xf numFmtId="0" fontId="1" fillId="0" borderId="2" xfId="0" applyFont="1" applyBorder="1" applyAlignment="1" applyProtection="1">
      <alignment horizontal="left" vertical="top" wrapText="1"/>
      <protection locked="0"/>
    </xf>
    <xf numFmtId="164" fontId="0" fillId="0" borderId="2" xfId="0" applyNumberFormat="1" applyFont="1" applyBorder="1" applyAlignment="1" applyProtection="1">
      <alignment horizontal="left" vertical="top" wrapText="1"/>
      <protection locked="0"/>
    </xf>
    <xf numFmtId="0" fontId="0" fillId="0" borderId="1" xfId="0" applyFont="1" applyBorder="1" applyAlignment="1" applyProtection="1">
      <alignment horizontal="left" vertical="top" wrapText="1"/>
    </xf>
    <xf numFmtId="0" fontId="0" fillId="0" borderId="3" xfId="0" applyFont="1" applyBorder="1" applyAlignment="1">
      <alignment horizontal="left" vertical="top" wrapText="1"/>
    </xf>
    <xf numFmtId="0" fontId="0" fillId="0" borderId="1" xfId="0" applyFont="1" applyFill="1" applyBorder="1" applyAlignment="1">
      <alignment horizontal="left" vertical="top"/>
    </xf>
    <xf numFmtId="0" fontId="0" fillId="0" borderId="1" xfId="0" applyFont="1" applyFill="1" applyBorder="1" applyAlignment="1" applyProtection="1">
      <alignment horizontal="left" vertical="top"/>
    </xf>
    <xf numFmtId="0" fontId="0" fillId="0" borderId="3" xfId="0" applyFont="1" applyFill="1" applyBorder="1" applyAlignment="1">
      <alignment horizontal="left" vertical="top"/>
    </xf>
  </cellXfs>
  <cellStyles count="1">
    <cellStyle name="Standard" xfId="0" builtinId="0"/>
  </cellStyles>
  <dxfs count="291">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patternType="solid">
          <fgColor rgb="FFE5B8B7"/>
          <bgColor rgb="FFE5B8B7"/>
        </patternFill>
      </fill>
    </dxf>
    <dxf>
      <fill>
        <patternFill patternType="solid">
          <fgColor rgb="FFF2DBDB"/>
          <bgColor rgb="FFF2DBDB"/>
        </patternFill>
      </fill>
    </dxf>
    <dxf>
      <fill>
        <patternFill patternType="solid">
          <fgColor rgb="FFE36C09"/>
          <bgColor rgb="FFE36C09"/>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
      <fill>
        <patternFill>
          <bgColor theme="9"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5.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50" Type="http://schemas.openxmlformats.org/officeDocument/2006/relationships/externalLink" Target="externalLinks/externalLink49.xml"/><Relationship Id="rId55" Type="http://schemas.openxmlformats.org/officeDocument/2006/relationships/externalLink" Target="externalLinks/externalLink54.xml"/><Relationship Id="rId63" Type="http://schemas.openxmlformats.org/officeDocument/2006/relationships/externalLink" Target="externalLinks/externalLink62.xml"/><Relationship Id="rId68" Type="http://schemas.openxmlformats.org/officeDocument/2006/relationships/externalLink" Target="externalLinks/externalLink67.xml"/><Relationship Id="rId76" Type="http://schemas.openxmlformats.org/officeDocument/2006/relationships/externalLink" Target="externalLinks/externalLink75.xml"/><Relationship Id="rId84" Type="http://schemas.openxmlformats.org/officeDocument/2006/relationships/externalLink" Target="externalLinks/externalLink83.xml"/><Relationship Id="rId89" Type="http://schemas.openxmlformats.org/officeDocument/2006/relationships/externalLink" Target="externalLinks/externalLink88.xml"/><Relationship Id="rId97" Type="http://schemas.openxmlformats.org/officeDocument/2006/relationships/sharedStrings" Target="sharedStrings.xml"/><Relationship Id="rId7" Type="http://schemas.openxmlformats.org/officeDocument/2006/relationships/externalLink" Target="externalLinks/externalLink6.xml"/><Relationship Id="rId71" Type="http://schemas.openxmlformats.org/officeDocument/2006/relationships/externalLink" Target="externalLinks/externalLink70.xml"/><Relationship Id="rId92" Type="http://schemas.openxmlformats.org/officeDocument/2006/relationships/externalLink" Target="externalLinks/externalLink91.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9" Type="http://schemas.openxmlformats.org/officeDocument/2006/relationships/externalLink" Target="externalLinks/externalLink28.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3" Type="http://schemas.openxmlformats.org/officeDocument/2006/relationships/externalLink" Target="externalLinks/externalLink52.xml"/><Relationship Id="rId58" Type="http://schemas.openxmlformats.org/officeDocument/2006/relationships/externalLink" Target="externalLinks/externalLink57.xml"/><Relationship Id="rId66" Type="http://schemas.openxmlformats.org/officeDocument/2006/relationships/externalLink" Target="externalLinks/externalLink65.xml"/><Relationship Id="rId74" Type="http://schemas.openxmlformats.org/officeDocument/2006/relationships/externalLink" Target="externalLinks/externalLink73.xml"/><Relationship Id="rId79" Type="http://schemas.openxmlformats.org/officeDocument/2006/relationships/externalLink" Target="externalLinks/externalLink78.xml"/><Relationship Id="rId87" Type="http://schemas.openxmlformats.org/officeDocument/2006/relationships/externalLink" Target="externalLinks/externalLink86.xml"/><Relationship Id="rId5" Type="http://schemas.openxmlformats.org/officeDocument/2006/relationships/externalLink" Target="externalLinks/externalLink4.xml"/><Relationship Id="rId61" Type="http://schemas.openxmlformats.org/officeDocument/2006/relationships/externalLink" Target="externalLinks/externalLink60.xml"/><Relationship Id="rId82" Type="http://schemas.openxmlformats.org/officeDocument/2006/relationships/externalLink" Target="externalLinks/externalLink81.xml"/><Relationship Id="rId90" Type="http://schemas.openxmlformats.org/officeDocument/2006/relationships/externalLink" Target="externalLinks/externalLink89.xml"/><Relationship Id="rId95" Type="http://schemas.openxmlformats.org/officeDocument/2006/relationships/theme" Target="theme/theme1.xml"/><Relationship Id="rId19" Type="http://schemas.openxmlformats.org/officeDocument/2006/relationships/externalLink" Target="externalLinks/externalLink1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56" Type="http://schemas.openxmlformats.org/officeDocument/2006/relationships/externalLink" Target="externalLinks/externalLink55.xml"/><Relationship Id="rId64" Type="http://schemas.openxmlformats.org/officeDocument/2006/relationships/externalLink" Target="externalLinks/externalLink63.xml"/><Relationship Id="rId69" Type="http://schemas.openxmlformats.org/officeDocument/2006/relationships/externalLink" Target="externalLinks/externalLink68.xml"/><Relationship Id="rId77" Type="http://schemas.openxmlformats.org/officeDocument/2006/relationships/externalLink" Target="externalLinks/externalLink76.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72" Type="http://schemas.openxmlformats.org/officeDocument/2006/relationships/externalLink" Target="externalLinks/externalLink71.xml"/><Relationship Id="rId80" Type="http://schemas.openxmlformats.org/officeDocument/2006/relationships/externalLink" Target="externalLinks/externalLink79.xml"/><Relationship Id="rId85" Type="http://schemas.openxmlformats.org/officeDocument/2006/relationships/externalLink" Target="externalLinks/externalLink84.xml"/><Relationship Id="rId93" Type="http://schemas.openxmlformats.org/officeDocument/2006/relationships/externalLink" Target="externalLinks/externalLink92.xml"/><Relationship Id="rId98" Type="http://schemas.openxmlformats.org/officeDocument/2006/relationships/calcChain" Target="calcChain.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59" Type="http://schemas.openxmlformats.org/officeDocument/2006/relationships/externalLink" Target="externalLinks/externalLink58.xml"/><Relationship Id="rId67" Type="http://schemas.openxmlformats.org/officeDocument/2006/relationships/externalLink" Target="externalLinks/externalLink66.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54" Type="http://schemas.openxmlformats.org/officeDocument/2006/relationships/externalLink" Target="externalLinks/externalLink53.xml"/><Relationship Id="rId62" Type="http://schemas.openxmlformats.org/officeDocument/2006/relationships/externalLink" Target="externalLinks/externalLink61.xml"/><Relationship Id="rId70" Type="http://schemas.openxmlformats.org/officeDocument/2006/relationships/externalLink" Target="externalLinks/externalLink69.xml"/><Relationship Id="rId75" Type="http://schemas.openxmlformats.org/officeDocument/2006/relationships/externalLink" Target="externalLinks/externalLink74.xml"/><Relationship Id="rId83" Type="http://schemas.openxmlformats.org/officeDocument/2006/relationships/externalLink" Target="externalLinks/externalLink82.xml"/><Relationship Id="rId88" Type="http://schemas.openxmlformats.org/officeDocument/2006/relationships/externalLink" Target="externalLinks/externalLink87.xml"/><Relationship Id="rId91" Type="http://schemas.openxmlformats.org/officeDocument/2006/relationships/externalLink" Target="externalLinks/externalLink90.xml"/><Relationship Id="rId9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5.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 Id="rId57" Type="http://schemas.openxmlformats.org/officeDocument/2006/relationships/externalLink" Target="externalLinks/externalLink56.xml"/><Relationship Id="rId10" Type="http://schemas.openxmlformats.org/officeDocument/2006/relationships/externalLink" Target="externalLinks/externalLink9.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externalLink" Target="externalLinks/externalLink51.xml"/><Relationship Id="rId60" Type="http://schemas.openxmlformats.org/officeDocument/2006/relationships/externalLink" Target="externalLinks/externalLink59.xml"/><Relationship Id="rId65" Type="http://schemas.openxmlformats.org/officeDocument/2006/relationships/externalLink" Target="externalLinks/externalLink64.xml"/><Relationship Id="rId73" Type="http://schemas.openxmlformats.org/officeDocument/2006/relationships/externalLink" Target="externalLinks/externalLink72.xml"/><Relationship Id="rId78" Type="http://schemas.openxmlformats.org/officeDocument/2006/relationships/externalLink" Target="externalLinks/externalLink77.xml"/><Relationship Id="rId81" Type="http://schemas.openxmlformats.org/officeDocument/2006/relationships/externalLink" Target="externalLinks/externalLink80.xml"/><Relationship Id="rId86" Type="http://schemas.openxmlformats.org/officeDocument/2006/relationships/externalLink" Target="externalLinks/externalLink85.xml"/><Relationship Id="rId94" Type="http://schemas.openxmlformats.org/officeDocument/2006/relationships/externalLink" Target="externalLinks/externalLink93.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9" Type="http://schemas.openxmlformats.org/officeDocument/2006/relationships/externalLink" Target="externalLinks/externalLink3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10000316_Bad%20Honnef%20AG_Stellungnahme_zur_Konsultation_Kosten_Messwesen.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Formblatt_Stellungnahmen%20ENWG%20KG.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25_GGEW%20AG_Stellungnahme_zur_Konsultation_Kosten_Messwesen.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ellungnahme_Kostenanerkennung-Messwesen_HarzEnergieNetz.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inetz_Stn_Anlage%20zur_Konsultation_Kosten_Messwesen_31.01.2024.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30_BNetzA-Stellungnahme_zur_Konsultation_Kosten_Messwesen-KEW.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31_KWMK-Stellungnahme_zur_Konsultation_Kosten_Messwesen.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30,%20LNG_Stellungnahme_zur_Konsultation_Kosten_Messwesen.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Formblatt_Stellungnahmen%20MFN.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Mainnetz%20GmbH_Stellungnahme_zur_Konsultation_Kosten_Messwesen_final.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_01_31_MN%20an%20BNetzA_Kosten_Messwesen_Stellungnahm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Stellungnahme_BDEW.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26_BK8-23-0007-A_Formblatt_Stellungnahmen_final.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7-A_Formblatt_Stellungnahme_Netz%20Leipzig%20GmbH_2024-01-30.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AS_BNetzA_BK8_Stellungnahme_Kosten%20des%20Messwesens_20240130.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24_BK8-23-0007-Stellungnahmen_NG_Frankfurt_Oder.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ell_nahme_zur_Konsultation_Kosten_Messwesen_FDe_31.01.2024.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Formblatt_Stellungnahmen%20(1).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29_Stellungnahme%20NWSLS.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neu.sw-Stellungnahme_zur_Konsultation_Kosten_Messwesen.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Musterstellungnahme_zur_Konsultation_Kosten_Messwesen_1.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31_nvb%20Stellungnahme_zur_Konsultation_Kosten_Messwese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40131_Stellungnahme_zur_Konsultation_Kosten_Messwesen_Bielefelder_Netz_GmbH.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31_Stellungnahme_zur_Konsultation_Kosten_Messwesen.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RegensburgNetzGmbH_Stellungnahme_zur_Konsultation_Kosten_Messwesen.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Regionalwerk%20Bodensee%20Netze%20GmbH%20&amp;%20Co.%20KG_Stellungnahme_zur_Konsultation_Kosten_Messwesen.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Formblatt_Stellungnahmen_SachsenNetze.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Formblatt_Stellungnahmen_SachsenNetze%20HS.HD.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VN_Musterstellungnahme_zur_Konsultation_Kosten_Messwesen.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228;dtische%20Betriebswerke%20Luckenwalde%20GmbH_BK8-23-0007-A_Formblatt_Stellungnahmen.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40131%20BK8-23-0007-A_Stellungnahme_Stadtnetze%20M&#252;nster.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Stellungnahme_Eckpunkte_iMSys.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29%20Stellungnahme_zur_Konsultation_Kosten_Messwesen%20SW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_ewb%20Bruchsal_Stellungnahme_zur_Konsultation_Kosten_Messwesen.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adtwerke%20Ansbach%20GmbH_BK8-23-0007-A_Formblatt_Stellungnahmen.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ellungnahme_zur_Konsultation_Kosten_Messwesen_STWBS_29-1-2024.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adtwerke%20Bad%20Saulgau_Musterstellungnahme_zur_Konsultation_Kosten_Messwesen.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adtwerke%20Bayreuth%20Energie%20und%20Wasser%20GmbH_BK8-23-0007-A_Formblatt_Stellungnahmen.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01-2024-01-30-EG%20BNA%20-%20Stellungnahme_zur_Konsultation_Kosten_Messwesen.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adtwerke%20Buxtehude%20GmbH_Musterstellungnahme_zur_Konsultation_Kosten_Messwesen.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ellungnahme_zur_Konsultation_Kosten_Messwesen_StadtwerkeDetmoldGmbH.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Formblatt_Stellungnahmen_Stadtwerke%20Elbtal.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Flensburg_240123%20BK8-23-0007-A_Formblatt_Stellungnahmen.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Formblatt_StellungnahmenSWFFB2601202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Energie-%20und%20Wasserwerke%20Bautzen%20GmbH_Stellungnahme_zur_Konsultation_Kosten_Messwesen.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31_Stellungnahmen%20SWG.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31%20Stellungnahme%20Eckpunktepapier%20Kostenanerkennung%20Messwesen.xlsx"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ellungnahme_zur_Konsultation_Kosten_Messwesen_Stadtwerke%20Iserlohn%20GmbH.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Formblatt_Stellungnahmen_SWKN.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Stellungnahme_Eckpunkte_iMSys_1.xlsx"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Stellungnahme_Eckpunkte_iMSys_10001733_20240131.xlsx"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adtwerke%20Mengen_Musterstellungnahme_zur_Konsultation_Kosten_Messwesen.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W%20Metzingen_Stellungnahme_zur_Konsultation_Kosten_Messwesen.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W%20M&#252;hlacker-%20Stellungnahme_zur_Konsultation_Kosten_Messwesen.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W%20N&#252;rtinge%20GmbH%20-%20Stellungnahme_zur_Konsultation_Kosten_Messwesen.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ellungnahme_zur_Konsultation_Kosten_Messwesen-Netz%20Halle.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10000878_Stellungnahme_zur_Konsultation_Kosten_Messwesen_SW_Oranienburg.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7-A_Formblatt_Stellungnahmen_SWP.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ellungnahme_zur_Konsultation_Kosten_Messwesen%20BK8-23-007-A_23012024.xlsx"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_01_25_Stellungnahmen_Kostenanerkennung-Messwesen.xlsx"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W%20Rastatt_Stellungnahme_zur_Konsultation_Kosten_Messwesen.xlsx"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W%20Rhede%20GmbH_Stellungnahme_zur_Konsultation_Kosten_Messwesen.xlsx.xlsx"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Stellungnahme_zur_Konsultation_Kosten_Messwesen_SWS_Netz_AG.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ellungnahme_zur_Konsultation_Kosten_Messwesen_10000349.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ellungnahme_BNetzA_Eckpunktepapier_Kosten_Messwesen_SW%20Sindelfingen_20240131.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W%20Troisdorf_Konsultation_Kosten_Messwese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Energieversorgung%20Inselsberg%20GmbH_Stellungnahme_zur_Konsultation_Kosten_%20Messwesen.xlsx"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30%20Stellungnahme%20swt_zur_Konsultation_Kosten_Messwesen.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31%20Stellungnahme_zur_Konsultation_Kosten_Messwesen.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_01_25_Stellungnahme_zur_Konsultation_Kosten_Messwesen.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2001%2030%20%20SWN%20Stellungnahme_zur_Konsultation_Kosten_Messwesen.xlsx"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uttgart%20Netze%20GmbH_BK8-23-0007-A_Formblatt_Stellungnahmen.xlsx"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ENEG_Strom_Musterstellungnahme_zur_Konsultation_Kosten_Messwesen.xlsx"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20;NG_Strom_Musterstellungnahme_zur_Konsultation_Kosten_Messwesen.xlsx"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VNG_Strom_Musterstellungnahme_zur_Konsultation_Kosten_Messwesen.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Formblatt_Stellungnahme_Kosultation%20Messwesen.xlsx"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Konsultation_Kosten_Messwesen_30012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Energieversorgung%20Limburg%20GmbH_Stellungnahme_zur_Konsultation_Kosten_Messwesen.xlsx"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10001832%20BK8-23-0007-A_Formblatt_Stellungnahmen.xlsx"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31_Th&#252;ga_Stellungnahmen_Kostenanerkennung-Messwesen.xlsx"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40130_an%20BNetzA_BK8-23-0007-A_Formblatt_Stellungnahmen.xlsx"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20;Z%20Mainfranken%20Stellungnahme%20zur%20Konsultation%20Kosten%20Messwesen.xlsx"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VKU_BK8-23-0007-A_Formblatt_Stellungnahmen.xlsx"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25%20Vereinigte%20Stadtwerke%20Netz%20GmbH%20Stellungnahme_Konsultation_Kosten_Messwesen.xlsx"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Stellungnahme_Eckpunkte_iMSys_VWEW.xlsx"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tellungnahme_Wei&#223;achtal-Kraftwerke_zur_Konsultation_Kosten_Messwesen.xlsx"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Strom/BK8-Allgemeinfestlegungen/2023_FL_Kosten_Messwesen/03_Konsultation_Eckpunktepapier/03_Stellungnahmen/FormblattStn/BK8-23-0007-A_Stellungnahmen_WEMAG%20Netz.xlsx"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31%20Stellungnahme%20Westnetz%20BK8-23-0007-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Formblatt_Stellungnahmen_Enoda.xlsx"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SW%20Pritzwalk_Stellungnahme_zur_Konsultation_Kosten_Messwesen.xlsx"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20240125_Stn_ZEV_Kostenanerkennung-Messwesen.xlsx"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BK8-23-0007-A_Stellungnahmen_WEMAG%20Netz.xlsx"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dswibns003\windat\Strom\BK8-Allgemeinfestlegungen\2023_FL_Kosten_Messwesen\03_Konsultation_Eckpunktepapier\03_Stellungnahmen\FormblattStn\NETCUR%20GmbH_Stellungnahme%20Konsultationsverfahren%20Eckpunkte%20zur%20Festlegung%20der%20Kosten%20des%20Messwes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Bad Honnef AG</v>
          </cell>
        </row>
        <row r="13">
          <cell r="D13" t="str">
            <v>VNB</v>
          </cell>
        </row>
      </sheetData>
      <sheetData sheetId="1"/>
      <sheetData sheetId="2"/>
      <sheetData sheetId="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ENWG Energienetze Weimar GmbH &amp; Co. KG</v>
          </cell>
        </row>
        <row r="13">
          <cell r="D13" t="str">
            <v>VNB</v>
          </cell>
        </row>
      </sheetData>
      <sheetData sheetId="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GGEW AG</v>
          </cell>
        </row>
        <row r="13">
          <cell r="D13" t="str">
            <v>VNB</v>
          </cell>
        </row>
      </sheetData>
      <sheetData sheetId="1"/>
      <sheetData sheetId="2"/>
      <sheetData sheetId="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Harz Energie Netz GmbH</v>
          </cell>
        </row>
        <row r="13">
          <cell r="D13" t="str">
            <v>VNB</v>
          </cell>
        </row>
      </sheetData>
      <sheetData sheetId="1"/>
      <sheetData sheetId="2"/>
      <sheetData sheetId="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inetz GmbH</v>
          </cell>
        </row>
        <row r="13">
          <cell r="D13" t="str">
            <v>VNB</v>
          </cell>
        </row>
      </sheetData>
      <sheetData sheetId="1"/>
      <sheetData sheetId="2"/>
      <sheetData sheetId="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KEW Kommunale Energie- und Wasserversorgung AG</v>
          </cell>
        </row>
        <row r="13">
          <cell r="D13" t="str">
            <v>VNB</v>
          </cell>
        </row>
      </sheetData>
      <sheetData sheetId="1"/>
      <sheetData sheetId="2"/>
      <sheetData sheetId="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Kreiswerke Main-Kinzig GmbH</v>
          </cell>
        </row>
        <row r="13">
          <cell r="D13" t="str">
            <v>VNB</v>
          </cell>
        </row>
      </sheetData>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LeineNetz GmbH</v>
          </cell>
        </row>
        <row r="13">
          <cell r="D13" t="str">
            <v>VNB</v>
          </cell>
        </row>
      </sheetData>
      <sheetData sheetId="1"/>
      <sheetData sheetId="2"/>
      <sheetData sheetId="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Mainfranken Netze GmbH</v>
          </cell>
        </row>
        <row r="13">
          <cell r="D13" t="str">
            <v>VNB</v>
          </cell>
        </row>
      </sheetData>
      <sheetData sheetId="1"/>
      <sheetData sheetId="2"/>
      <sheetData sheetId="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Mainnetz GmbH</v>
          </cell>
        </row>
        <row r="13">
          <cell r="D13" t="str">
            <v>VNB</v>
          </cell>
        </row>
      </sheetData>
      <sheetData sheetId="1"/>
      <sheetData sheetId="2"/>
      <sheetData sheetId="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Mainzer Netze GmbH</v>
          </cell>
        </row>
        <row r="13">
          <cell r="D13" t="str">
            <v>VNB</v>
          </cell>
        </row>
      </sheetData>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BDEW Bundesverband der Energie- und Wasserwirtschaft e.V.</v>
          </cell>
        </row>
        <row r="13">
          <cell r="D13" t="str">
            <v>Verband</v>
          </cell>
        </row>
      </sheetData>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N-ERGIE Netz GmbH</v>
          </cell>
        </row>
        <row r="13">
          <cell r="D13" t="str">
            <v>VNB</v>
          </cell>
        </row>
      </sheetData>
      <sheetData sheetId="1"/>
      <sheetData sheetId="2"/>
      <sheetData sheetId="3"/>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 Leipzig GmbH</v>
          </cell>
        </row>
        <row r="13">
          <cell r="D13" t="str">
            <v>VNB</v>
          </cell>
        </row>
      </sheetData>
      <sheetData sheetId="1"/>
      <sheetData sheetId="2"/>
      <sheetData sheetId="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Netze BW GmbH</v>
          </cell>
        </row>
        <row r="13">
          <cell r="D13" t="str">
            <v>VNB</v>
          </cell>
        </row>
      </sheetData>
      <sheetData sheetId="1"/>
      <sheetData sheetId="2"/>
      <sheetData sheetId="3"/>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Netzgesellschaft Frankfurt (Oder)</v>
          </cell>
        </row>
        <row r="13">
          <cell r="D13" t="str">
            <v>VNB</v>
          </cell>
        </row>
      </sheetData>
      <sheetData sheetId="1"/>
      <sheetData sheetId="2"/>
      <sheetData sheetId="3"/>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Netzgesellschaft Potsdam GmbH</v>
          </cell>
        </row>
        <row r="13">
          <cell r="D13" t="str">
            <v>VNB</v>
          </cell>
        </row>
      </sheetData>
      <sheetData sheetId="1"/>
      <sheetData sheetId="2"/>
      <sheetData sheetId="3"/>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Netzgesellschaft Schwerin mbH (NGS)</v>
          </cell>
        </row>
        <row r="13">
          <cell r="D13" t="str">
            <v>VNB</v>
          </cell>
        </row>
      </sheetData>
      <sheetData sheetId="1"/>
      <sheetData sheetId="2"/>
      <sheetData sheetId="3"/>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Netzwerke Saarlouis GmbH</v>
          </cell>
        </row>
        <row r="13">
          <cell r="D13" t="str">
            <v>VNB</v>
          </cell>
        </row>
      </sheetData>
      <sheetData sheetId="1"/>
      <sheetData sheetId="2"/>
      <sheetData sheetId="3"/>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Neubrandenburger Stadtwerke GmbH</v>
          </cell>
        </row>
        <row r="13">
          <cell r="D13" t="str">
            <v>VNB</v>
          </cell>
        </row>
      </sheetData>
      <sheetData sheetId="1"/>
      <sheetData sheetId="2"/>
      <sheetData sheetId="3"/>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Norddeutsche Allianz</v>
          </cell>
        </row>
        <row r="13">
          <cell r="D13" t="str">
            <v>Sonstiges</v>
          </cell>
        </row>
      </sheetData>
      <sheetData sheetId="1"/>
      <sheetData sheetId="2"/>
      <sheetData sheetId="3"/>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 xml:space="preserve">nvb Nordhorner Versorgungsbetriebe GmbH </v>
          </cell>
        </row>
        <row r="13">
          <cell r="D13" t="str">
            <v>VNB</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Bielefelder Netz GmbH</v>
          </cell>
        </row>
        <row r="13">
          <cell r="D13" t="str">
            <v>VNB</v>
          </cell>
        </row>
      </sheetData>
      <sheetData sheetId="1" refreshError="1"/>
      <sheetData sheetId="2" refreshError="1"/>
      <sheetData sheetId="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Oberhausener Netzgesellschaft</v>
          </cell>
        </row>
        <row r="13">
          <cell r="D13" t="str">
            <v>VNB</v>
          </cell>
        </row>
      </sheetData>
      <sheetData sheetId="1"/>
      <sheetData sheetId="2"/>
      <sheetData sheetId="3"/>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Regensburg Netz GmbH</v>
          </cell>
        </row>
        <row r="13">
          <cell r="D13" t="str">
            <v>VNB</v>
          </cell>
        </row>
      </sheetData>
      <sheetData sheetId="1"/>
      <sheetData sheetId="2"/>
      <sheetData sheetId="3"/>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Regionalwerk Bodensee Netze GmbH &amp; Co. KG</v>
          </cell>
        </row>
        <row r="13">
          <cell r="D13" t="str">
            <v>VNB</v>
          </cell>
        </row>
      </sheetData>
      <sheetData sheetId="1" refreshError="1"/>
      <sheetData sheetId="2" refreshError="1"/>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SachsenNetze GmbH</v>
          </cell>
        </row>
        <row r="13">
          <cell r="D13" t="str">
            <v>VNB</v>
          </cell>
        </row>
      </sheetData>
      <sheetData sheetId="1"/>
      <sheetData sheetId="2"/>
      <sheetData sheetId="3"/>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SachsenNetze HS.HD GmbH</v>
          </cell>
        </row>
        <row r="13">
          <cell r="D13" t="str">
            <v>VNB</v>
          </cell>
        </row>
      </sheetData>
      <sheetData sheetId="1"/>
      <sheetData sheetId="2"/>
      <sheetData sheetId="3"/>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Saerbecker Ver- und Entsorgungsnetzgesellschaft mbH</v>
          </cell>
        </row>
        <row r="13">
          <cell r="D13" t="str">
            <v>VNB</v>
          </cell>
        </row>
      </sheetData>
      <sheetData sheetId="1"/>
      <sheetData sheetId="2"/>
      <sheetData sheetId="3"/>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Städtische Betriebswerke Luckenwalde GmbH</v>
          </cell>
        </row>
        <row r="13">
          <cell r="D13" t="str">
            <v>VNB</v>
          </cell>
        </row>
      </sheetData>
      <sheetData sheetId="1" refreshError="1"/>
      <sheetData sheetId="2" refreshError="1"/>
      <sheetData sheetId="3"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Stadtnetze Münster GmbH</v>
          </cell>
        </row>
        <row r="13">
          <cell r="D13" t="str">
            <v>VNB</v>
          </cell>
        </row>
      </sheetData>
      <sheetData sheetId="1"/>
      <sheetData sheetId="2"/>
      <sheetData sheetId="3"/>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Achim AG</v>
          </cell>
        </row>
        <row r="13">
          <cell r="D13" t="str">
            <v>VNB</v>
          </cell>
        </row>
      </sheetData>
      <sheetData sheetId="1"/>
      <sheetData sheetId="2"/>
      <sheetData sheetId="3"/>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Amberg Versorgungs GmbH</v>
          </cell>
        </row>
        <row r="13">
          <cell r="D13" t="str">
            <v>VNB</v>
          </cell>
        </row>
      </sheetData>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Energie- und Wasserversorgung Bruchsal GmbH</v>
          </cell>
        </row>
        <row r="13">
          <cell r="D13" t="str">
            <v>VNB</v>
          </cell>
        </row>
      </sheetData>
      <sheetData sheetId="1"/>
      <sheetData sheetId="2"/>
      <sheetData sheetId="3"/>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Ansbach GmbH</v>
          </cell>
        </row>
        <row r="13">
          <cell r="D13" t="str">
            <v>VNB</v>
          </cell>
        </row>
      </sheetData>
      <sheetData sheetId="1"/>
      <sheetData sheetId="2"/>
      <sheetData sheetId="3"/>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Bad Salzuflen GmbH</v>
          </cell>
        </row>
        <row r="13">
          <cell r="D13" t="str">
            <v>VNB</v>
          </cell>
        </row>
      </sheetData>
      <sheetData sheetId="1"/>
      <sheetData sheetId="2"/>
      <sheetData sheetId="3"/>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 xml:space="preserve">Stadtwerke Bad Saulgau </v>
          </cell>
        </row>
        <row r="13">
          <cell r="D13" t="str">
            <v>VNB</v>
          </cell>
        </row>
      </sheetData>
      <sheetData sheetId="1" refreshError="1"/>
      <sheetData sheetId="2" refreshError="1"/>
      <sheetData sheetId="3"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Bayreuth Energie und Wasser GmbH</v>
          </cell>
        </row>
        <row r="13">
          <cell r="D13" t="str">
            <v>VNB</v>
          </cell>
        </row>
      </sheetData>
      <sheetData sheetId="1" refreshError="1"/>
      <sheetData sheetId="2" refreshError="1"/>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Bietigheim-Bissingen GmbH</v>
          </cell>
        </row>
        <row r="13">
          <cell r="D13" t="str">
            <v>VNB</v>
          </cell>
        </row>
      </sheetData>
      <sheetData sheetId="1"/>
      <sheetData sheetId="2"/>
      <sheetData sheetId="3"/>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Buxtehude GmbH</v>
          </cell>
        </row>
        <row r="13">
          <cell r="D13" t="str">
            <v>MSB</v>
          </cell>
        </row>
      </sheetData>
      <sheetData sheetId="1" refreshError="1"/>
      <sheetData sheetId="2" refreshError="1"/>
      <sheetData sheetId="3"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Detmold GmbH</v>
          </cell>
        </row>
        <row r="13">
          <cell r="D13" t="str">
            <v>VNB</v>
          </cell>
        </row>
      </sheetData>
      <sheetData sheetId="1"/>
      <sheetData sheetId="2"/>
      <sheetData sheetId="3"/>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Elbtal GmbH</v>
          </cell>
        </row>
        <row r="13">
          <cell r="D13" t="str">
            <v>VNB</v>
          </cell>
        </row>
      </sheetData>
      <sheetData sheetId="1"/>
      <sheetData sheetId="2"/>
      <sheetData sheetId="3"/>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Flensburg GmbH</v>
          </cell>
        </row>
        <row r="13">
          <cell r="D13" t="str">
            <v>VNB</v>
          </cell>
        </row>
      </sheetData>
      <sheetData sheetId="1"/>
      <sheetData sheetId="2"/>
      <sheetData sheetId="3"/>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Fürstenfeldbruck GmbH</v>
          </cell>
        </row>
        <row r="13">
          <cell r="D13" t="str">
            <v>VNB</v>
          </cell>
        </row>
      </sheetData>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Energie- und Wasserwerke Bautzen GmbH</v>
          </cell>
        </row>
        <row r="13">
          <cell r="D13" t="str">
            <v>VNB</v>
          </cell>
        </row>
      </sheetData>
      <sheetData sheetId="1" refreshError="1"/>
      <sheetData sheetId="2" refreshError="1"/>
      <sheetData sheetId="3"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Germersheim GmbH</v>
          </cell>
        </row>
        <row r="13">
          <cell r="D13" t="str">
            <v>VNB</v>
          </cell>
        </row>
      </sheetData>
      <sheetData sheetId="1"/>
      <sheetData sheetId="2"/>
      <sheetData sheetId="3"/>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Grünstadt GmbH</v>
          </cell>
        </row>
        <row r="13">
          <cell r="D13" t="str">
            <v>VNB</v>
          </cell>
        </row>
      </sheetData>
      <sheetData sheetId="1"/>
      <sheetData sheetId="2"/>
      <sheetData sheetId="3"/>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Iserlohn GmbH</v>
          </cell>
        </row>
        <row r="13">
          <cell r="D13" t="str">
            <v>VNB</v>
          </cell>
        </row>
      </sheetData>
      <sheetData sheetId="1"/>
      <sheetData sheetId="2"/>
      <sheetData sheetId="3"/>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Karlsruhe Netzservice GmbH</v>
          </cell>
        </row>
        <row r="13">
          <cell r="D13" t="str">
            <v>VNB</v>
          </cell>
        </row>
      </sheetData>
      <sheetData sheetId="1"/>
      <sheetData sheetId="2"/>
      <sheetData sheetId="3"/>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Kempen GmbH</v>
          </cell>
        </row>
        <row r="13">
          <cell r="D13" t="str">
            <v>VNB</v>
          </cell>
        </row>
      </sheetData>
      <sheetData sheetId="1"/>
      <sheetData sheetId="2"/>
      <sheetData sheetId="3"/>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Lindau (B) GmbH &amp; Co. KG</v>
          </cell>
        </row>
        <row r="13">
          <cell r="D13" t="str">
            <v>VNB</v>
          </cell>
        </row>
      </sheetData>
      <sheetData sheetId="1"/>
      <sheetData sheetId="2"/>
      <sheetData sheetId="3"/>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Mengen</v>
          </cell>
        </row>
        <row r="13">
          <cell r="D13" t="str">
            <v>VNB</v>
          </cell>
        </row>
      </sheetData>
      <sheetData sheetId="1"/>
      <sheetData sheetId="2"/>
      <sheetData sheetId="3"/>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Metzingen</v>
          </cell>
        </row>
        <row r="13">
          <cell r="D13" t="str">
            <v>VNB</v>
          </cell>
        </row>
      </sheetData>
      <sheetData sheetId="1"/>
      <sheetData sheetId="2"/>
      <sheetData sheetId="3"/>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Mühlacker GmbH</v>
          </cell>
        </row>
        <row r="13">
          <cell r="D13" t="str">
            <v>VNB</v>
          </cell>
        </row>
      </sheetData>
      <sheetData sheetId="1"/>
      <sheetData sheetId="2"/>
      <sheetData sheetId="3"/>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Nürtingen GmbH</v>
          </cell>
        </row>
        <row r="13">
          <cell r="D13" t="str">
            <v>VNB</v>
          </cell>
        </row>
      </sheetData>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Energieversorgung Halle Netz GmbH</v>
          </cell>
        </row>
        <row r="13">
          <cell r="D13" t="str">
            <v>VNB</v>
          </cell>
        </row>
      </sheetData>
      <sheetData sheetId="1"/>
      <sheetData sheetId="2"/>
      <sheetData sheetId="3"/>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Oranienburg GmbH</v>
          </cell>
        </row>
        <row r="13">
          <cell r="D13" t="str">
            <v>VNB</v>
          </cell>
        </row>
      </sheetData>
      <sheetData sheetId="1"/>
      <sheetData sheetId="2"/>
      <sheetData sheetId="3"/>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Parchim GmbH</v>
          </cell>
        </row>
        <row r="13">
          <cell r="D13" t="str">
            <v>VNB</v>
          </cell>
        </row>
      </sheetData>
      <sheetData sheetId="1"/>
      <sheetData sheetId="2"/>
      <sheetData sheetId="3"/>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Passau GmbH</v>
          </cell>
        </row>
        <row r="13">
          <cell r="D13" t="str">
            <v>VNB</v>
          </cell>
        </row>
      </sheetData>
      <sheetData sheetId="1"/>
      <sheetData sheetId="2"/>
      <sheetData sheetId="3"/>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Pirmasens Versorgungs GmbH</v>
          </cell>
        </row>
        <row r="13">
          <cell r="D13" t="str">
            <v>VNB</v>
          </cell>
        </row>
      </sheetData>
      <sheetData sheetId="1"/>
      <sheetData sheetId="2"/>
      <sheetData sheetId="3"/>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Rastatt GmbH</v>
          </cell>
        </row>
        <row r="13">
          <cell r="D13" t="str">
            <v>VNB</v>
          </cell>
        </row>
      </sheetData>
      <sheetData sheetId="1"/>
      <sheetData sheetId="2"/>
      <sheetData sheetId="3"/>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Rhede GmbH</v>
          </cell>
        </row>
        <row r="13">
          <cell r="D13" t="str">
            <v>VNB</v>
          </cell>
        </row>
      </sheetData>
      <sheetData sheetId="1"/>
      <sheetData sheetId="2"/>
      <sheetData sheetId="3"/>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Saarbrücken Netz AG</v>
          </cell>
        </row>
        <row r="13">
          <cell r="D13" t="str">
            <v>VNB</v>
          </cell>
        </row>
      </sheetData>
      <sheetData sheetId="1"/>
      <sheetData sheetId="2"/>
      <sheetData sheetId="3"/>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Schwäbisch Hall GmbH</v>
          </cell>
        </row>
        <row r="13">
          <cell r="D13" t="str">
            <v>VNB</v>
          </cell>
        </row>
      </sheetData>
      <sheetData sheetId="1"/>
      <sheetData sheetId="2"/>
      <sheetData sheetId="3"/>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Sindelfingen GmbH</v>
          </cell>
        </row>
        <row r="13">
          <cell r="D13" t="str">
            <v>VNB</v>
          </cell>
        </row>
      </sheetData>
      <sheetData sheetId="1" refreshError="1"/>
      <sheetData sheetId="2" refreshError="1"/>
      <sheetData sheetId="3"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Troisdorf GmbH</v>
          </cell>
        </row>
        <row r="13">
          <cell r="D13" t="str">
            <v>VNB</v>
          </cell>
        </row>
      </sheetData>
      <sheetData sheetId="1"/>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Energieversorgung Inselsberg GmbH</v>
          </cell>
        </row>
        <row r="13">
          <cell r="D13" t="str">
            <v>VNB</v>
          </cell>
        </row>
      </sheetData>
      <sheetData sheetId="1" refreshError="1"/>
      <sheetData sheetId="2" refreshError="1"/>
      <sheetData sheetId="3"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Tübingen GmbH</v>
          </cell>
        </row>
        <row r="13">
          <cell r="D13" t="str">
            <v>VNB</v>
          </cell>
        </row>
      </sheetData>
      <sheetData sheetId="1"/>
      <sheetData sheetId="2"/>
      <sheetData sheetId="3"/>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Ulm/Neu-Ulm Netze GmbH</v>
          </cell>
        </row>
        <row r="13">
          <cell r="D13" t="str">
            <v>VNB</v>
          </cell>
        </row>
      </sheetData>
      <sheetData sheetId="1"/>
      <sheetData sheetId="2"/>
      <sheetData sheetId="3"/>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Stadtwerke Wedel GmbH</v>
          </cell>
        </row>
        <row r="13">
          <cell r="D13" t="str">
            <v>VNB</v>
          </cell>
        </row>
      </sheetData>
      <sheetData sheetId="1"/>
      <sheetData sheetId="2"/>
      <sheetData sheetId="3"/>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Stadztwerke Neustadt an der Weinstraße GmbH</v>
          </cell>
        </row>
        <row r="13">
          <cell r="D13" t="str">
            <v>VNB</v>
          </cell>
        </row>
      </sheetData>
      <sheetData sheetId="1"/>
      <sheetData sheetId="2"/>
      <sheetData sheetId="3"/>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Stuttgart Netze GmbH</v>
          </cell>
        </row>
        <row r="13">
          <cell r="D13" t="str">
            <v>VNB</v>
          </cell>
        </row>
      </sheetData>
      <sheetData sheetId="1"/>
      <sheetData sheetId="2"/>
      <sheetData sheetId="3"/>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SWL Energienetz- und Entsorgungsgesellschaft mbH</v>
          </cell>
        </row>
        <row r="13">
          <cell r="D13" t="str">
            <v>VNB</v>
          </cell>
        </row>
      </sheetData>
      <sheetData sheetId="1"/>
      <sheetData sheetId="2"/>
      <sheetData sheetId="3"/>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SWL Übertragungsnetzgesellschaft mbH</v>
          </cell>
        </row>
        <row r="13">
          <cell r="D13" t="str">
            <v>VNB</v>
          </cell>
        </row>
      </sheetData>
      <sheetData sheetId="1"/>
      <sheetData sheetId="2"/>
      <sheetData sheetId="3"/>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SWL Verteilungsnetzgesellschaft mbH</v>
          </cell>
        </row>
        <row r="13">
          <cell r="D13" t="str">
            <v>VNB</v>
          </cell>
        </row>
      </sheetData>
      <sheetData sheetId="1"/>
      <sheetData sheetId="2"/>
      <sheetData sheetId="3"/>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SWO Netz GmbH</v>
          </cell>
        </row>
        <row r="13">
          <cell r="D13" t="str">
            <v>VNB</v>
          </cell>
        </row>
      </sheetData>
      <sheetData sheetId="1"/>
      <sheetData sheetId="2"/>
      <sheetData sheetId="3"/>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SWTE Netz Gm</v>
          </cell>
        </row>
        <row r="13">
          <cell r="D13" t="str">
            <v>VNB</v>
          </cell>
        </row>
      </sheetData>
      <sheetData sheetId="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Energieversorgung Limburg GmbH</v>
          </cell>
        </row>
        <row r="13">
          <cell r="D13" t="str">
            <v>VNB</v>
          </cell>
        </row>
      </sheetData>
      <sheetData sheetId="1" refreshError="1"/>
      <sheetData sheetId="2" refreshError="1"/>
      <sheetData sheetId="3"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TEN Thüringer Energienetze GmbH &amp; Co. KG</v>
          </cell>
        </row>
        <row r="13">
          <cell r="D13" t="str">
            <v>VNB</v>
          </cell>
        </row>
      </sheetData>
      <sheetData sheetId="1"/>
      <sheetData sheetId="2"/>
      <sheetData sheetId="3"/>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Thüga Aktiengesellschaft</v>
          </cell>
        </row>
        <row r="13">
          <cell r="D13"/>
        </row>
      </sheetData>
      <sheetData sheetId="1"/>
      <sheetData sheetId="2"/>
      <sheetData sheetId="3"/>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Thüga Energienetze GmbH</v>
          </cell>
        </row>
        <row r="13">
          <cell r="D13" t="str">
            <v>VNB</v>
          </cell>
        </row>
      </sheetData>
      <sheetData sheetId="1"/>
      <sheetData sheetId="2"/>
      <sheetData sheetId="3"/>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ÜZ Mainfranken eG</v>
          </cell>
        </row>
        <row r="13">
          <cell r="D13" t="str">
            <v>VNB</v>
          </cell>
        </row>
      </sheetData>
      <sheetData sheetId="1"/>
      <sheetData sheetId="2"/>
      <sheetData sheetId="3"/>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Verband kommunaler Unternehmen e.V.</v>
          </cell>
        </row>
        <row r="13">
          <cell r="D13" t="str">
            <v>Verband</v>
          </cell>
        </row>
      </sheetData>
      <sheetData sheetId="1"/>
      <sheetData sheetId="2"/>
      <sheetData sheetId="3"/>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Vereinigte Stadtwerke Netz GmbH</v>
          </cell>
        </row>
        <row r="13">
          <cell r="D13" t="str">
            <v>VNB</v>
          </cell>
        </row>
      </sheetData>
      <sheetData sheetId="1" refreshError="1"/>
      <sheetData sheetId="2" refreshError="1"/>
      <sheetData sheetId="3"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Vereinigte Wertach-Elektrizitätswerke GmbH</v>
          </cell>
        </row>
        <row r="13">
          <cell r="D13" t="str">
            <v>VNB</v>
          </cell>
        </row>
      </sheetData>
      <sheetData sheetId="1"/>
      <sheetData sheetId="2"/>
      <sheetData sheetId="3"/>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Weißachtal-Kraftwerke eG</v>
          </cell>
        </row>
        <row r="13">
          <cell r="D13" t="str">
            <v>VNB</v>
          </cell>
        </row>
      </sheetData>
      <sheetData sheetId="1"/>
      <sheetData sheetId="2"/>
      <sheetData sheetId="3"/>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WEMAG Netz GmbH</v>
          </cell>
        </row>
        <row r="13">
          <cell r="D13" t="str">
            <v>VNB</v>
          </cell>
        </row>
      </sheetData>
      <sheetData sheetId="1"/>
      <sheetData sheetId="2"/>
      <sheetData sheetId="3"/>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Westnetz GmbH</v>
          </cell>
        </row>
        <row r="13">
          <cell r="D13" t="str">
            <v>VNB</v>
          </cell>
        </row>
      </sheetData>
      <sheetData sheetId="1"/>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3">
          <cell r="D13" t="str">
            <v>Sonstiges</v>
          </cell>
        </row>
      </sheetData>
      <sheetData sheetId="1"/>
      <sheetData sheetId="2"/>
      <sheetData sheetId="3"/>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XXX</v>
          </cell>
        </row>
        <row r="13">
          <cell r="D13" t="str">
            <v>VNB</v>
          </cell>
        </row>
      </sheetData>
      <sheetData sheetId="1"/>
      <sheetData sheetId="2"/>
      <sheetData sheetId="3"/>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Zwickauer Energieversorgung GmbH</v>
          </cell>
        </row>
        <row r="13">
          <cell r="D13" t="str">
            <v>VNB</v>
          </cell>
        </row>
      </sheetData>
      <sheetData sheetId="1"/>
      <sheetData sheetId="2"/>
      <sheetData sheetId="3"/>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rte"/>
    </sheetNames>
    <sheetDataSet>
      <sheetData sheetId="0"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sheetName val="Werte"/>
      <sheetName val="Marktrollen"/>
    </sheetNames>
    <sheetDataSet>
      <sheetData sheetId="0">
        <row r="12">
          <cell r="C12" t="str">
            <v>NETCUR GmbH</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G377"/>
  <sheetViews>
    <sheetView tabSelected="1" zoomScale="90" zoomScaleNormal="90" workbookViewId="0">
      <selection activeCell="E360" sqref="E360"/>
    </sheetView>
  </sheetViews>
  <sheetFormatPr baseColWidth="10" defaultRowHeight="15" x14ac:dyDescent="0.25"/>
  <cols>
    <col min="1" max="1" width="11.42578125" style="3"/>
    <col min="2" max="2" width="31" style="3" customWidth="1"/>
    <col min="3" max="4" width="11.42578125" style="3"/>
    <col min="5" max="7" width="73.7109375" style="3" customWidth="1"/>
    <col min="8" max="16384" width="11.42578125" style="3"/>
  </cols>
  <sheetData>
    <row r="1" spans="1:7" x14ac:dyDescent="0.25">
      <c r="A1" s="2" t="s">
        <v>282</v>
      </c>
      <c r="B1" s="2" t="s">
        <v>283</v>
      </c>
      <c r="C1" s="2" t="s">
        <v>277</v>
      </c>
      <c r="D1" s="2" t="s">
        <v>278</v>
      </c>
      <c r="E1" s="2" t="s">
        <v>279</v>
      </c>
      <c r="F1" s="2" t="s">
        <v>280</v>
      </c>
      <c r="G1" s="2" t="s">
        <v>281</v>
      </c>
    </row>
    <row r="2" spans="1:7" ht="375" x14ac:dyDescent="0.25">
      <c r="A2" s="4" t="str">
        <f>IF(D2="","",IF([1]Informationen!D$13="","Keine Rolle angegeben",[1]Informationen!D$13))</f>
        <v>VNB</v>
      </c>
      <c r="B2" s="15" t="str">
        <f>IF(A2="","",[1]Informationen!C$12)</f>
        <v>Bad Honnef AG</v>
      </c>
      <c r="C2" s="27">
        <v>1</v>
      </c>
      <c r="D2" s="8" t="s">
        <v>0</v>
      </c>
      <c r="E2" s="6" t="s">
        <v>1</v>
      </c>
      <c r="F2" s="9" t="s">
        <v>2</v>
      </c>
      <c r="G2" s="9" t="s">
        <v>3</v>
      </c>
    </row>
    <row r="3" spans="1:7" ht="150" x14ac:dyDescent="0.25">
      <c r="A3" s="4" t="str">
        <f>IF(D3="","",IF([1]Informationen!D$13="","Keine Rolle angegeben",[1]Informationen!D$13))</f>
        <v>VNB</v>
      </c>
      <c r="B3" s="15" t="str">
        <f>IF(A3="","",[1]Informationen!C$12)</f>
        <v>Bad Honnef AG</v>
      </c>
      <c r="C3" s="27">
        <v>2</v>
      </c>
      <c r="D3" s="8" t="s">
        <v>4</v>
      </c>
      <c r="E3" s="6" t="s">
        <v>5</v>
      </c>
      <c r="F3" s="9" t="s">
        <v>6</v>
      </c>
      <c r="G3" s="9" t="s">
        <v>7</v>
      </c>
    </row>
    <row r="4" spans="1:7" ht="90" x14ac:dyDescent="0.25">
      <c r="A4" s="4" t="str">
        <f>IF(D4="","",IF([1]Informationen!D$13="","Keine Rolle angegeben",[1]Informationen!D$13))</f>
        <v>VNB</v>
      </c>
      <c r="B4" s="15" t="str">
        <f>IF(A4="","",[1]Informationen!C$12)</f>
        <v>Bad Honnef AG</v>
      </c>
      <c r="C4" s="27">
        <v>3</v>
      </c>
      <c r="D4" s="8" t="s">
        <v>4</v>
      </c>
      <c r="E4" s="6" t="s">
        <v>8</v>
      </c>
      <c r="F4" s="9"/>
      <c r="G4" s="9" t="s">
        <v>9</v>
      </c>
    </row>
    <row r="5" spans="1:7" ht="195" x14ac:dyDescent="0.25">
      <c r="A5" s="10" t="str">
        <f>IF(D5="","",IF([2]Informationen!D$13="","Keine Rolle angegeben",[2]Informationen!D$13))</f>
        <v>Verband</v>
      </c>
      <c r="B5" s="25" t="str">
        <f>IF(A5="","",[2]Informationen!C$12)</f>
        <v>BDEW Bundesverband der Energie- und Wasserwirtschaft e.V.</v>
      </c>
      <c r="C5" s="28">
        <v>1</v>
      </c>
      <c r="D5" s="11" t="s">
        <v>0</v>
      </c>
      <c r="E5" s="1" t="s">
        <v>189</v>
      </c>
      <c r="F5" s="5" t="s">
        <v>190</v>
      </c>
      <c r="G5" s="5" t="s">
        <v>191</v>
      </c>
    </row>
    <row r="6" spans="1:7" ht="180" x14ac:dyDescent="0.25">
      <c r="A6" s="10" t="str">
        <f>IF(D6="","",IF([2]Informationen!D$13="","Keine Rolle angegeben",[2]Informationen!D$13))</f>
        <v>Verband</v>
      </c>
      <c r="B6" s="25" t="str">
        <f>IF(A6="","",[2]Informationen!C$12)</f>
        <v>BDEW Bundesverband der Energie- und Wasserwirtschaft e.V.</v>
      </c>
      <c r="C6" s="28">
        <v>2</v>
      </c>
      <c r="D6" s="11" t="s">
        <v>0</v>
      </c>
      <c r="E6" s="1" t="s">
        <v>192</v>
      </c>
      <c r="F6" s="5" t="s">
        <v>193</v>
      </c>
      <c r="G6" s="5" t="s">
        <v>194</v>
      </c>
    </row>
    <row r="7" spans="1:7" ht="300" x14ac:dyDescent="0.25">
      <c r="A7" s="10" t="str">
        <f>IF(D7="","",IF([2]Informationen!D$13="","Keine Rolle angegeben",[2]Informationen!D$13))</f>
        <v>Verband</v>
      </c>
      <c r="B7" s="25" t="str">
        <f>IF(A7="","",[2]Informationen!C$12)</f>
        <v>BDEW Bundesverband der Energie- und Wasserwirtschaft e.V.</v>
      </c>
      <c r="C7" s="28">
        <v>3</v>
      </c>
      <c r="D7" s="11" t="s">
        <v>0</v>
      </c>
      <c r="E7" s="1" t="s">
        <v>195</v>
      </c>
      <c r="F7" s="5" t="s">
        <v>196</v>
      </c>
      <c r="G7" s="5" t="s">
        <v>197</v>
      </c>
    </row>
    <row r="8" spans="1:7" ht="180" x14ac:dyDescent="0.25">
      <c r="A8" s="10" t="str">
        <f>IF(D8="","",IF([2]Informationen!D$13="","Keine Rolle angegeben",[2]Informationen!D$13))</f>
        <v>Verband</v>
      </c>
      <c r="B8" s="25" t="str">
        <f>IF(A8="","",[2]Informationen!C$12)</f>
        <v>BDEW Bundesverband der Energie- und Wasserwirtschaft e.V.</v>
      </c>
      <c r="C8" s="28">
        <v>4</v>
      </c>
      <c r="D8" s="11" t="s">
        <v>4</v>
      </c>
      <c r="E8" s="1" t="s">
        <v>198</v>
      </c>
      <c r="F8" s="5" t="s">
        <v>199</v>
      </c>
      <c r="G8" s="5" t="s">
        <v>200</v>
      </c>
    </row>
    <row r="9" spans="1:7" ht="60" x14ac:dyDescent="0.25">
      <c r="A9" s="10" t="str">
        <f>IF(D9="","",IF([2]Informationen!D$13="","Keine Rolle angegeben",[2]Informationen!D$13))</f>
        <v>Verband</v>
      </c>
      <c r="B9" s="25" t="str">
        <f>IF(A9="","",[2]Informationen!C$12)</f>
        <v>BDEW Bundesverband der Energie- und Wasserwirtschaft e.V.</v>
      </c>
      <c r="C9" s="28">
        <v>5</v>
      </c>
      <c r="D9" s="11" t="s">
        <v>4</v>
      </c>
      <c r="E9" s="1" t="s">
        <v>201</v>
      </c>
      <c r="F9" s="5" t="s">
        <v>199</v>
      </c>
      <c r="G9" s="5" t="s">
        <v>57</v>
      </c>
    </row>
    <row r="10" spans="1:7" ht="409.5" x14ac:dyDescent="0.25">
      <c r="A10" s="10" t="str">
        <f>IF(D10="","",IF([2]Informationen!D$13="","Keine Rolle angegeben",[2]Informationen!D$13))</f>
        <v>Verband</v>
      </c>
      <c r="B10" s="25" t="str">
        <f>IF(A10="","",[2]Informationen!C$12)</f>
        <v>BDEW Bundesverband der Energie- und Wasserwirtschaft e.V.</v>
      </c>
      <c r="C10" s="28">
        <v>6</v>
      </c>
      <c r="D10" s="11" t="s">
        <v>4</v>
      </c>
      <c r="E10" s="1" t="s">
        <v>202</v>
      </c>
      <c r="F10" s="5" t="s">
        <v>199</v>
      </c>
      <c r="G10" s="5" t="s">
        <v>203</v>
      </c>
    </row>
    <row r="11" spans="1:7" ht="409.5" x14ac:dyDescent="0.25">
      <c r="A11" s="10" t="str">
        <f>IF(D11="","",IF([2]Informationen!D$13="","Keine Rolle angegeben",[2]Informationen!D$13))</f>
        <v>Verband</v>
      </c>
      <c r="B11" s="25" t="str">
        <f>IF(A11="","",[2]Informationen!C$12)</f>
        <v>BDEW Bundesverband der Energie- und Wasserwirtschaft e.V.</v>
      </c>
      <c r="C11" s="28">
        <v>7</v>
      </c>
      <c r="D11" s="11" t="s">
        <v>4</v>
      </c>
      <c r="E11" s="1" t="s">
        <v>179</v>
      </c>
      <c r="F11" s="5" t="s">
        <v>204</v>
      </c>
      <c r="G11" s="5" t="s">
        <v>205</v>
      </c>
    </row>
    <row r="12" spans="1:7" ht="409.5" x14ac:dyDescent="0.25">
      <c r="A12" s="10" t="str">
        <f>IF(D12="","",IF([2]Informationen!D$13="","Keine Rolle angegeben",[2]Informationen!D$13))</f>
        <v>Verband</v>
      </c>
      <c r="B12" s="25" t="str">
        <f>IF(A12="","",[2]Informationen!C$12)</f>
        <v>BDEW Bundesverband der Energie- und Wasserwirtschaft e.V.</v>
      </c>
      <c r="C12" s="28">
        <v>8</v>
      </c>
      <c r="D12" s="11" t="s">
        <v>4</v>
      </c>
      <c r="E12" s="1" t="s">
        <v>64</v>
      </c>
      <c r="F12" s="5" t="s">
        <v>199</v>
      </c>
      <c r="G12" s="5" t="s">
        <v>206</v>
      </c>
    </row>
    <row r="13" spans="1:7" ht="150" x14ac:dyDescent="0.25">
      <c r="A13" s="10" t="str">
        <f>IF(D13="","",IF([2]Informationen!D$13="","Keine Rolle angegeben",[2]Informationen!D$13))</f>
        <v>Verband</v>
      </c>
      <c r="B13" s="25" t="str">
        <f>IF(A13="","",[2]Informationen!C$12)</f>
        <v>BDEW Bundesverband der Energie- und Wasserwirtschaft e.V.</v>
      </c>
      <c r="C13" s="28">
        <v>9</v>
      </c>
      <c r="D13" s="11" t="s">
        <v>45</v>
      </c>
      <c r="E13" s="1"/>
      <c r="F13" s="5" t="s">
        <v>207</v>
      </c>
      <c r="G13" s="5" t="s">
        <v>208</v>
      </c>
    </row>
    <row r="14" spans="1:7" ht="135" x14ac:dyDescent="0.25">
      <c r="A14" s="10" t="str">
        <f>IF(D14="","",IF([2]Informationen!D$13="","Keine Rolle angegeben",[2]Informationen!D$13))</f>
        <v>Verband</v>
      </c>
      <c r="B14" s="25" t="str">
        <f>IF(A14="","",[2]Informationen!C$12)</f>
        <v>BDEW Bundesverband der Energie- und Wasserwirtschaft e.V.</v>
      </c>
      <c r="C14" s="28">
        <v>10</v>
      </c>
      <c r="D14" s="11" t="s">
        <v>45</v>
      </c>
      <c r="E14" s="1"/>
      <c r="F14" s="5" t="s">
        <v>209</v>
      </c>
      <c r="G14" s="5" t="s">
        <v>210</v>
      </c>
    </row>
    <row r="15" spans="1:7" ht="390" x14ac:dyDescent="0.25">
      <c r="A15" s="4" t="str">
        <f>IF(D15="","",IF([3]Informationen!D$13="","Keine Rolle angegeben",[3]Informationen!D$13))</f>
        <v>VNB</v>
      </c>
      <c r="B15" s="15" t="str">
        <f>IF(A15="","",[3]Informationen!C$12)</f>
        <v>Bielefelder Netz GmbH</v>
      </c>
      <c r="C15" s="27">
        <v>1</v>
      </c>
      <c r="D15" s="8" t="s">
        <v>0</v>
      </c>
      <c r="E15" s="6" t="s">
        <v>1</v>
      </c>
      <c r="F15" s="9" t="s">
        <v>115</v>
      </c>
      <c r="G15" s="9" t="s">
        <v>116</v>
      </c>
    </row>
    <row r="16" spans="1:7" ht="195" x14ac:dyDescent="0.25">
      <c r="A16" s="4" t="str">
        <f>IF(D16="","",IF([3]Informationen!D$13="","Keine Rolle angegeben",[3]Informationen!D$13))</f>
        <v>VNB</v>
      </c>
      <c r="B16" s="15" t="str">
        <f>IF(A16="","",[3]Informationen!C$12)</f>
        <v>Bielefelder Netz GmbH</v>
      </c>
      <c r="C16" s="27">
        <v>2</v>
      </c>
      <c r="D16" s="8" t="s">
        <v>4</v>
      </c>
      <c r="E16" s="6" t="s">
        <v>5</v>
      </c>
      <c r="F16" s="9" t="s">
        <v>117</v>
      </c>
      <c r="G16" s="9" t="s">
        <v>7</v>
      </c>
    </row>
    <row r="17" spans="1:7" ht="45" x14ac:dyDescent="0.25">
      <c r="A17" s="4" t="str">
        <f>IF(D17="","",IF([3]Informationen!D$13="","Keine Rolle angegeben",[3]Informationen!D$13))</f>
        <v>VNB</v>
      </c>
      <c r="B17" s="15" t="str">
        <f>IF(A17="","",[3]Informationen!C$12)</f>
        <v>Bielefelder Netz GmbH</v>
      </c>
      <c r="C17" s="27">
        <v>3</v>
      </c>
      <c r="D17" s="8" t="s">
        <v>45</v>
      </c>
      <c r="E17" s="6"/>
      <c r="F17" s="9" t="s">
        <v>118</v>
      </c>
      <c r="G17" s="9"/>
    </row>
    <row r="18" spans="1:7" ht="375" x14ac:dyDescent="0.25">
      <c r="A18" s="4" t="str">
        <f>IF(D18="","",IF([4]Informationen!D$13="","Keine Rolle angegeben",[4]Informationen!D$13))</f>
        <v>VNB</v>
      </c>
      <c r="B18" s="15" t="str">
        <f>IF(A18="","",[4]Informationen!C$12)</f>
        <v>Energie- und Wasserversorgung Bruchsal GmbH</v>
      </c>
      <c r="C18" s="27">
        <v>1</v>
      </c>
      <c r="D18" s="8" t="s">
        <v>0</v>
      </c>
      <c r="E18" s="6" t="s">
        <v>1</v>
      </c>
      <c r="F18" s="9" t="s">
        <v>2</v>
      </c>
      <c r="G18" s="9" t="s">
        <v>3</v>
      </c>
    </row>
    <row r="19" spans="1:7" ht="150" x14ac:dyDescent="0.25">
      <c r="A19" s="4" t="str">
        <f>IF(D19="","",IF([4]Informationen!D$13="","Keine Rolle angegeben",[4]Informationen!D$13))</f>
        <v>VNB</v>
      </c>
      <c r="B19" s="15" t="str">
        <f>IF(A19="","",[4]Informationen!C$12)</f>
        <v>Energie- und Wasserversorgung Bruchsal GmbH</v>
      </c>
      <c r="C19" s="27">
        <v>2</v>
      </c>
      <c r="D19" s="8" t="s">
        <v>4</v>
      </c>
      <c r="E19" s="6" t="s">
        <v>5</v>
      </c>
      <c r="F19" s="9" t="s">
        <v>6</v>
      </c>
      <c r="G19" s="9" t="s">
        <v>7</v>
      </c>
    </row>
    <row r="20" spans="1:7" ht="375" x14ac:dyDescent="0.25">
      <c r="A20" s="4" t="str">
        <f>IF(D20="","",IF([5]Informationen!D$13="","Keine Rolle angegeben",[5]Informationen!D$13))</f>
        <v>VNB</v>
      </c>
      <c r="B20" s="15" t="str">
        <f>IF(A20="","",[5]Informationen!C$12)</f>
        <v>Energie- und Wasserwerke Bautzen GmbH</v>
      </c>
      <c r="C20" s="27">
        <v>1</v>
      </c>
      <c r="D20" s="8" t="s">
        <v>0</v>
      </c>
      <c r="E20" s="6" t="s">
        <v>1</v>
      </c>
      <c r="F20" s="9" t="s">
        <v>2</v>
      </c>
      <c r="G20" s="9" t="s">
        <v>3</v>
      </c>
    </row>
    <row r="21" spans="1:7" ht="150" x14ac:dyDescent="0.25">
      <c r="A21" s="4" t="str">
        <f>IF(D21="","",IF([5]Informationen!D$13="","Keine Rolle angegeben",[5]Informationen!D$13))</f>
        <v>VNB</v>
      </c>
      <c r="B21" s="15" t="str">
        <f>IF(A21="","",[5]Informationen!C$12)</f>
        <v>Energie- und Wasserwerke Bautzen GmbH</v>
      </c>
      <c r="C21" s="27">
        <v>2</v>
      </c>
      <c r="D21" s="8" t="s">
        <v>4</v>
      </c>
      <c r="E21" s="6" t="s">
        <v>5</v>
      </c>
      <c r="F21" s="9" t="s">
        <v>6</v>
      </c>
      <c r="G21" s="9" t="s">
        <v>7</v>
      </c>
    </row>
    <row r="22" spans="1:7" ht="375" x14ac:dyDescent="0.25">
      <c r="A22" s="4" t="str">
        <f>IF(D22="","",IF([6]Informationen!D$13="","Keine Rolle angegeben",[6]Informationen!D$13))</f>
        <v>VNB</v>
      </c>
      <c r="B22" s="15" t="str">
        <f>IF(A22="","",[6]Informationen!C$12)</f>
        <v>Energieversorgung Halle Netz GmbH</v>
      </c>
      <c r="C22" s="27">
        <v>1</v>
      </c>
      <c r="D22" s="8" t="s">
        <v>0</v>
      </c>
      <c r="E22" s="6" t="s">
        <v>1</v>
      </c>
      <c r="F22" s="9" t="s">
        <v>2</v>
      </c>
      <c r="G22" s="9" t="s">
        <v>3</v>
      </c>
    </row>
    <row r="23" spans="1:7" ht="150" x14ac:dyDescent="0.25">
      <c r="A23" s="4" t="str">
        <f>IF(D23="","",IF([6]Informationen!D$13="","Keine Rolle angegeben",[6]Informationen!D$13))</f>
        <v>VNB</v>
      </c>
      <c r="B23" s="15" t="str">
        <f>IF(A23="","",[6]Informationen!C$12)</f>
        <v>Energieversorgung Halle Netz GmbH</v>
      </c>
      <c r="C23" s="27">
        <v>2</v>
      </c>
      <c r="D23" s="8" t="s">
        <v>4</v>
      </c>
      <c r="E23" s="6" t="s">
        <v>5</v>
      </c>
      <c r="F23" s="9" t="s">
        <v>6</v>
      </c>
      <c r="G23" s="9" t="s">
        <v>7</v>
      </c>
    </row>
    <row r="24" spans="1:7" ht="375" x14ac:dyDescent="0.25">
      <c r="A24" s="4" t="str">
        <f>IF(D24="","",IF([7]Informationen!D$13="","Keine Rolle angegeben",[7]Informationen!D$13))</f>
        <v>VNB</v>
      </c>
      <c r="B24" s="15" t="str">
        <f>IF(A24="","",[7]Informationen!C$12)</f>
        <v>Energieversorgung Inselsberg GmbH</v>
      </c>
      <c r="C24" s="27">
        <v>1</v>
      </c>
      <c r="D24" s="8" t="s">
        <v>0</v>
      </c>
      <c r="E24" s="6" t="s">
        <v>1</v>
      </c>
      <c r="F24" s="9" t="s">
        <v>2</v>
      </c>
      <c r="G24" s="9" t="s">
        <v>3</v>
      </c>
    </row>
    <row r="25" spans="1:7" ht="150" x14ac:dyDescent="0.25">
      <c r="A25" s="4" t="str">
        <f>IF(D25="","",IF([7]Informationen!D$13="","Keine Rolle angegeben",[7]Informationen!D$13))</f>
        <v>VNB</v>
      </c>
      <c r="B25" s="15" t="str">
        <f>IF(A25="","",[7]Informationen!C$12)</f>
        <v>Energieversorgung Inselsberg GmbH</v>
      </c>
      <c r="C25" s="27">
        <v>2</v>
      </c>
      <c r="D25" s="8" t="s">
        <v>4</v>
      </c>
      <c r="E25" s="6" t="s">
        <v>5</v>
      </c>
      <c r="F25" s="9" t="s">
        <v>6</v>
      </c>
      <c r="G25" s="9" t="s">
        <v>7</v>
      </c>
    </row>
    <row r="26" spans="1:7" ht="375" x14ac:dyDescent="0.25">
      <c r="A26" s="4" t="str">
        <f>IF(D26="","",IF([8]Informationen!D$13="","Keine Rolle angegeben",[8]Informationen!D$13))</f>
        <v>VNB</v>
      </c>
      <c r="B26" s="15" t="str">
        <f>IF(A26="","",[8]Informationen!C$12)</f>
        <v>Energieversorgung Limburg GmbH</v>
      </c>
      <c r="C26" s="27">
        <v>1</v>
      </c>
      <c r="D26" s="8" t="s">
        <v>0</v>
      </c>
      <c r="E26" s="6" t="s">
        <v>1</v>
      </c>
      <c r="F26" s="9" t="s">
        <v>2</v>
      </c>
      <c r="G26" s="9" t="s">
        <v>3</v>
      </c>
    </row>
    <row r="27" spans="1:7" ht="150" x14ac:dyDescent="0.25">
      <c r="A27" s="4" t="str">
        <f>IF(D27="","",IF([8]Informationen!D$13="","Keine Rolle angegeben",[8]Informationen!D$13))</f>
        <v>VNB</v>
      </c>
      <c r="B27" s="15" t="str">
        <f>IF(A27="","",[8]Informationen!C$12)</f>
        <v>Energieversorgung Limburg GmbH</v>
      </c>
      <c r="C27" s="27">
        <v>2</v>
      </c>
      <c r="D27" s="8" t="s">
        <v>4</v>
      </c>
      <c r="E27" s="6" t="s">
        <v>5</v>
      </c>
      <c r="F27" s="9" t="s">
        <v>6</v>
      </c>
      <c r="G27" s="9" t="s">
        <v>7</v>
      </c>
    </row>
    <row r="28" spans="1:7" ht="390" x14ac:dyDescent="0.25">
      <c r="A28" s="4" t="str">
        <f>IF(D28="","",IF([9]Informationen!D$13="","Keine Rolle angegeben",[9]Informationen!D$13))</f>
        <v>Sonstiges</v>
      </c>
      <c r="B28" s="15" t="s">
        <v>164</v>
      </c>
      <c r="C28" s="27">
        <v>1</v>
      </c>
      <c r="D28" s="12" t="s">
        <v>10</v>
      </c>
      <c r="E28" s="13" t="s">
        <v>162</v>
      </c>
      <c r="F28" s="14" t="s">
        <v>286</v>
      </c>
      <c r="G28" s="15" t="s">
        <v>163</v>
      </c>
    </row>
    <row r="29" spans="1:7" ht="225" x14ac:dyDescent="0.25">
      <c r="A29" s="4" t="str">
        <f>IF(D29="","",IF([9]Informationen!D$13="","Keine Rolle angegeben",[9]Informationen!D$13))</f>
        <v>Sonstiges</v>
      </c>
      <c r="B29" s="15" t="s">
        <v>164</v>
      </c>
      <c r="C29" s="27">
        <v>2</v>
      </c>
      <c r="D29" s="12" t="s">
        <v>45</v>
      </c>
      <c r="E29" s="16"/>
      <c r="F29" s="15" t="s">
        <v>165</v>
      </c>
      <c r="G29" s="15" t="s">
        <v>166</v>
      </c>
    </row>
    <row r="30" spans="1:7" ht="375" x14ac:dyDescent="0.25">
      <c r="A30" s="10" t="str">
        <f>IF(D30="","",IF([10]Informationen!D$13="","Keine Rolle angegeben",[10]Informationen!D$13))</f>
        <v>VNB</v>
      </c>
      <c r="B30" s="25" t="str">
        <f>IF(A30="","",[10]Informationen!C$12)</f>
        <v>ENWG Energienetze Weimar GmbH &amp; Co. KG</v>
      </c>
      <c r="C30" s="28">
        <v>1</v>
      </c>
      <c r="D30" s="11" t="s">
        <v>0</v>
      </c>
      <c r="E30" s="1" t="s">
        <v>1</v>
      </c>
      <c r="F30" s="5" t="s">
        <v>2</v>
      </c>
      <c r="G30" s="5" t="s">
        <v>3</v>
      </c>
    </row>
    <row r="31" spans="1:7" ht="150" x14ac:dyDescent="0.25">
      <c r="A31" s="10" t="str">
        <f>IF(D31="","",IF([10]Informationen!D$13="","Keine Rolle angegeben",[10]Informationen!D$13))</f>
        <v>VNB</v>
      </c>
      <c r="B31" s="25" t="str">
        <f>IF(A31="","",[10]Informationen!C$12)</f>
        <v>ENWG Energienetze Weimar GmbH &amp; Co. KG</v>
      </c>
      <c r="C31" s="28">
        <v>2</v>
      </c>
      <c r="D31" s="11" t="s">
        <v>4</v>
      </c>
      <c r="E31" s="1" t="s">
        <v>5</v>
      </c>
      <c r="F31" s="5" t="s">
        <v>6</v>
      </c>
      <c r="G31" s="5" t="s">
        <v>7</v>
      </c>
    </row>
    <row r="32" spans="1:7" ht="375" x14ac:dyDescent="0.25">
      <c r="A32" s="4" t="str">
        <f>IF(D32="","",IF([11]Informationen!D$13="","Keine Rolle angegeben",[11]Informationen!D$13))</f>
        <v>VNB</v>
      </c>
      <c r="B32" s="15" t="str">
        <f>IF(A32="","",[11]Informationen!C$12)</f>
        <v>GGEW AG</v>
      </c>
      <c r="C32" s="27">
        <v>1</v>
      </c>
      <c r="D32" s="8" t="s">
        <v>0</v>
      </c>
      <c r="E32" s="6" t="s">
        <v>1</v>
      </c>
      <c r="F32" s="9" t="s">
        <v>2</v>
      </c>
      <c r="G32" s="9" t="s">
        <v>3</v>
      </c>
    </row>
    <row r="33" spans="1:7" ht="150" x14ac:dyDescent="0.25">
      <c r="A33" s="4" t="str">
        <f>IF(D33="","",IF([11]Informationen!D$13="","Keine Rolle angegeben",[11]Informationen!D$13))</f>
        <v>VNB</v>
      </c>
      <c r="B33" s="15" t="str">
        <f>IF(A33="","",[11]Informationen!C$12)</f>
        <v>GGEW AG</v>
      </c>
      <c r="C33" s="27">
        <v>2</v>
      </c>
      <c r="D33" s="8" t="s">
        <v>4</v>
      </c>
      <c r="E33" s="6" t="s">
        <v>5</v>
      </c>
      <c r="F33" s="9" t="s">
        <v>6</v>
      </c>
      <c r="G33" s="9" t="s">
        <v>7</v>
      </c>
    </row>
    <row r="34" spans="1:7" ht="75" x14ac:dyDescent="0.25">
      <c r="A34" s="4" t="str">
        <f>IF(D34="","",IF([12]Informationen!D$13="","Keine Rolle angegeben",[12]Informationen!D$13))</f>
        <v>VNB</v>
      </c>
      <c r="B34" s="15" t="str">
        <f>IF(A34="","",[12]Informationen!C$12)</f>
        <v>Harz Energie Netz GmbH</v>
      </c>
      <c r="C34" s="27">
        <v>1</v>
      </c>
      <c r="D34" s="8" t="s">
        <v>0</v>
      </c>
      <c r="E34" s="6" t="s">
        <v>68</v>
      </c>
      <c r="F34" s="9"/>
      <c r="G34" s="9"/>
    </row>
    <row r="35" spans="1:7" ht="75" x14ac:dyDescent="0.25">
      <c r="A35" s="4" t="str">
        <f>IF(D35="","",IF([12]Informationen!D$13="","Keine Rolle angegeben",[12]Informationen!D$13))</f>
        <v>VNB</v>
      </c>
      <c r="B35" s="15" t="str">
        <f>IF(A35="","",[12]Informationen!C$12)</f>
        <v>Harz Energie Netz GmbH</v>
      </c>
      <c r="C35" s="27">
        <v>2</v>
      </c>
      <c r="D35" s="8" t="s">
        <v>0</v>
      </c>
      <c r="E35" s="6" t="s">
        <v>22</v>
      </c>
      <c r="F35" s="9" t="s">
        <v>23</v>
      </c>
      <c r="G35" s="9" t="s">
        <v>24</v>
      </c>
    </row>
    <row r="36" spans="1:7" ht="120" x14ac:dyDescent="0.25">
      <c r="A36" s="4" t="str">
        <f>IF(D36="","",IF([12]Informationen!D$13="","Keine Rolle angegeben",[12]Informationen!D$13))</f>
        <v>VNB</v>
      </c>
      <c r="B36" s="15" t="str">
        <f>IF(A36="","",[12]Informationen!C$12)</f>
        <v>Harz Energie Netz GmbH</v>
      </c>
      <c r="C36" s="27">
        <v>3</v>
      </c>
      <c r="D36" s="8" t="s">
        <v>0</v>
      </c>
      <c r="E36" s="6" t="s">
        <v>70</v>
      </c>
      <c r="F36" s="9"/>
      <c r="G36" s="9"/>
    </row>
    <row r="37" spans="1:7" ht="330" x14ac:dyDescent="0.25">
      <c r="A37" s="4" t="str">
        <f>IF(D37="","",IF([12]Informationen!D$13="","Keine Rolle angegeben",[12]Informationen!D$13))</f>
        <v>VNB</v>
      </c>
      <c r="B37" s="15" t="str">
        <f>IF(A37="","",[12]Informationen!C$12)</f>
        <v>Harz Energie Netz GmbH</v>
      </c>
      <c r="C37" s="27">
        <v>4</v>
      </c>
      <c r="D37" s="8" t="s">
        <v>0</v>
      </c>
      <c r="E37" s="6" t="s">
        <v>25</v>
      </c>
      <c r="F37" s="9" t="s">
        <v>26</v>
      </c>
      <c r="G37" s="9" t="s">
        <v>27</v>
      </c>
    </row>
    <row r="38" spans="1:7" ht="120" x14ac:dyDescent="0.25">
      <c r="A38" s="4" t="str">
        <f>IF(D38="","",IF([12]Informationen!D$13="","Keine Rolle angegeben",[12]Informationen!D$13))</f>
        <v>VNB</v>
      </c>
      <c r="B38" s="15" t="str">
        <f>IF(A38="","",[12]Informationen!C$12)</f>
        <v>Harz Energie Netz GmbH</v>
      </c>
      <c r="C38" s="27">
        <v>5</v>
      </c>
      <c r="D38" s="8" t="s">
        <v>0</v>
      </c>
      <c r="E38" s="6" t="s">
        <v>28</v>
      </c>
      <c r="F38" s="9" t="s">
        <v>29</v>
      </c>
      <c r="G38" s="9" t="s">
        <v>30</v>
      </c>
    </row>
    <row r="39" spans="1:7" ht="60" x14ac:dyDescent="0.25">
      <c r="A39" s="4" t="str">
        <f>IF(D39="","",IF([12]Informationen!D$13="","Keine Rolle angegeben",[12]Informationen!D$13))</f>
        <v>VNB</v>
      </c>
      <c r="B39" s="15" t="str">
        <f>IF(A39="","",[12]Informationen!C$12)</f>
        <v>Harz Energie Netz GmbH</v>
      </c>
      <c r="C39" s="27">
        <v>6</v>
      </c>
      <c r="D39" s="8" t="s">
        <v>31</v>
      </c>
      <c r="E39" s="6" t="s">
        <v>102</v>
      </c>
      <c r="F39" s="9"/>
      <c r="G39" s="9"/>
    </row>
    <row r="40" spans="1:7" ht="105" x14ac:dyDescent="0.25">
      <c r="A40" s="4" t="str">
        <f>IF(D40="","",IF([12]Informationen!D$13="","Keine Rolle angegeben",[12]Informationen!D$13))</f>
        <v>VNB</v>
      </c>
      <c r="B40" s="15" t="str">
        <f>IF(A40="","",[12]Informationen!C$12)</f>
        <v>Harz Energie Netz GmbH</v>
      </c>
      <c r="C40" s="27">
        <v>7</v>
      </c>
      <c r="D40" s="8" t="s">
        <v>31</v>
      </c>
      <c r="E40" s="6" t="s">
        <v>74</v>
      </c>
      <c r="F40" s="9"/>
      <c r="G40" s="9"/>
    </row>
    <row r="41" spans="1:7" ht="90" x14ac:dyDescent="0.25">
      <c r="A41" s="4" t="str">
        <f>IF(D41="","",IF([12]Informationen!D$13="","Keine Rolle angegeben",[12]Informationen!D$13))</f>
        <v>VNB</v>
      </c>
      <c r="B41" s="15" t="str">
        <f>IF(A41="","",[12]Informationen!C$12)</f>
        <v>Harz Energie Netz GmbH</v>
      </c>
      <c r="C41" s="27">
        <v>8</v>
      </c>
      <c r="D41" s="8" t="s">
        <v>31</v>
      </c>
      <c r="E41" s="6" t="s">
        <v>32</v>
      </c>
      <c r="F41" s="9"/>
      <c r="G41" s="9" t="s">
        <v>103</v>
      </c>
    </row>
    <row r="42" spans="1:7" ht="105" x14ac:dyDescent="0.25">
      <c r="A42" s="4" t="str">
        <f>IF(D42="","",IF([12]Informationen!D$13="","Keine Rolle angegeben",[12]Informationen!D$13))</f>
        <v>VNB</v>
      </c>
      <c r="B42" s="15" t="str">
        <f>IF(A42="","",[12]Informationen!C$12)</f>
        <v>Harz Energie Netz GmbH</v>
      </c>
      <c r="C42" s="27">
        <v>9</v>
      </c>
      <c r="D42" s="8" t="s">
        <v>4</v>
      </c>
      <c r="E42" s="6" t="s">
        <v>77</v>
      </c>
      <c r="F42" s="9"/>
      <c r="G42" s="9"/>
    </row>
    <row r="43" spans="1:7" ht="150" x14ac:dyDescent="0.25">
      <c r="A43" s="4" t="str">
        <f>IF(D43="","",IF([12]Informationen!D$13="","Keine Rolle angegeben",[12]Informationen!D$13))</f>
        <v>VNB</v>
      </c>
      <c r="B43" s="15" t="str">
        <f>IF(A43="","",[12]Informationen!C$12)</f>
        <v>Harz Energie Netz GmbH</v>
      </c>
      <c r="C43" s="27">
        <v>10</v>
      </c>
      <c r="D43" s="8" t="s">
        <v>4</v>
      </c>
      <c r="E43" s="6" t="s">
        <v>34</v>
      </c>
      <c r="F43" s="9" t="s">
        <v>256</v>
      </c>
      <c r="G43" s="9" t="s">
        <v>257</v>
      </c>
    </row>
    <row r="44" spans="1:7" ht="135" x14ac:dyDescent="0.25">
      <c r="A44" s="4" t="str">
        <f>IF(D44="","",IF([12]Informationen!D$13="","Keine Rolle angegeben",[12]Informationen!D$13))</f>
        <v>VNB</v>
      </c>
      <c r="B44" s="15" t="str">
        <f>IF(A44="","",[12]Informationen!C$12)</f>
        <v>Harz Energie Netz GmbH</v>
      </c>
      <c r="C44" s="27">
        <v>11</v>
      </c>
      <c r="D44" s="8" t="s">
        <v>4</v>
      </c>
      <c r="E44" s="6" t="s">
        <v>37</v>
      </c>
      <c r="F44" s="9" t="s">
        <v>258</v>
      </c>
      <c r="G44" s="9" t="s">
        <v>39</v>
      </c>
    </row>
    <row r="45" spans="1:7" ht="45" x14ac:dyDescent="0.25">
      <c r="A45" s="4" t="str">
        <f>IF(D45="","",IF([12]Informationen!D$13="","Keine Rolle angegeben",[12]Informationen!D$13))</f>
        <v>VNB</v>
      </c>
      <c r="B45" s="15" t="str">
        <f>IF(A45="","",[12]Informationen!C$12)</f>
        <v>Harz Energie Netz GmbH</v>
      </c>
      <c r="C45" s="27">
        <v>12</v>
      </c>
      <c r="D45" s="8" t="s">
        <v>4</v>
      </c>
      <c r="E45" s="6" t="s">
        <v>40</v>
      </c>
      <c r="F45" s="9"/>
      <c r="G45" s="9" t="s">
        <v>104</v>
      </c>
    </row>
    <row r="46" spans="1:7" ht="60" x14ac:dyDescent="0.25">
      <c r="A46" s="4" t="str">
        <f>IF(D46="","",IF([12]Informationen!D$13="","Keine Rolle angegeben",[12]Informationen!D$13))</f>
        <v>VNB</v>
      </c>
      <c r="B46" s="15" t="str">
        <f>IF(A46="","",[12]Informationen!C$12)</f>
        <v>Harz Energie Netz GmbH</v>
      </c>
      <c r="C46" s="27">
        <v>13</v>
      </c>
      <c r="D46" s="8" t="s">
        <v>4</v>
      </c>
      <c r="E46" s="6" t="s">
        <v>42</v>
      </c>
      <c r="F46" s="9" t="s">
        <v>43</v>
      </c>
      <c r="G46" s="9"/>
    </row>
    <row r="47" spans="1:7" ht="45" x14ac:dyDescent="0.25">
      <c r="A47" s="4" t="str">
        <f>IF(D47="","",IF([12]Informationen!D$13="","Keine Rolle angegeben",[12]Informationen!D$13))</f>
        <v>VNB</v>
      </c>
      <c r="B47" s="15" t="str">
        <f>IF(A47="","",[12]Informationen!C$12)</f>
        <v>Harz Energie Netz GmbH</v>
      </c>
      <c r="C47" s="27">
        <v>14</v>
      </c>
      <c r="D47" s="8" t="s">
        <v>4</v>
      </c>
      <c r="E47" s="6" t="s">
        <v>44</v>
      </c>
      <c r="F47" s="9" t="s">
        <v>43</v>
      </c>
      <c r="G47" s="9"/>
    </row>
    <row r="48" spans="1:7" ht="30" x14ac:dyDescent="0.25">
      <c r="A48" s="4" t="str">
        <f>IF(D48="","",IF([12]Informationen!D$13="","Keine Rolle angegeben",[12]Informationen!D$13))</f>
        <v>VNB</v>
      </c>
      <c r="B48" s="15" t="str">
        <f>IF(A48="","",[12]Informationen!C$12)</f>
        <v>Harz Energie Netz GmbH</v>
      </c>
      <c r="C48" s="27">
        <v>15</v>
      </c>
      <c r="D48" s="8" t="s">
        <v>4</v>
      </c>
      <c r="E48" s="6" t="s">
        <v>8</v>
      </c>
      <c r="F48" s="9" t="s">
        <v>43</v>
      </c>
      <c r="G48" s="9"/>
    </row>
    <row r="49" spans="1:7" ht="135" x14ac:dyDescent="0.25">
      <c r="A49" s="4" t="str">
        <f>IF(D49="","",IF([12]Informationen!D$13="","Keine Rolle angegeben",[12]Informationen!D$13))</f>
        <v>VNB</v>
      </c>
      <c r="B49" s="15" t="str">
        <f>IF(A49="","",[12]Informationen!C$12)</f>
        <v>Harz Energie Netz GmbH</v>
      </c>
      <c r="C49" s="27">
        <v>16</v>
      </c>
      <c r="D49" s="8" t="s">
        <v>45</v>
      </c>
      <c r="E49" s="6"/>
      <c r="F49" s="9" t="s">
        <v>46</v>
      </c>
      <c r="G49" s="9" t="s">
        <v>47</v>
      </c>
    </row>
    <row r="50" spans="1:7" ht="75" x14ac:dyDescent="0.25">
      <c r="A50" s="4" t="str">
        <f>IF(D50="","",IF([13]Informationen!D$13="","Keine Rolle angegeben",[13]Informationen!D$13))</f>
        <v>VNB</v>
      </c>
      <c r="B50" s="15" t="str">
        <f>IF(A50="","",[13]Informationen!C$12)</f>
        <v>inetz GmbH</v>
      </c>
      <c r="C50" s="27">
        <v>1</v>
      </c>
      <c r="D50" s="8" t="s">
        <v>0</v>
      </c>
      <c r="E50" s="6" t="s">
        <v>22</v>
      </c>
      <c r="F50" s="9" t="s">
        <v>23</v>
      </c>
      <c r="G50" s="9" t="s">
        <v>24</v>
      </c>
    </row>
    <row r="51" spans="1:7" ht="375" x14ac:dyDescent="0.25">
      <c r="A51" s="4" t="str">
        <f>IF(D51="","",IF([13]Informationen!D$13="","Keine Rolle angegeben",[13]Informationen!D$13))</f>
        <v>VNB</v>
      </c>
      <c r="B51" s="15" t="str">
        <f>IF(A51="","",[13]Informationen!C$12)</f>
        <v>inetz GmbH</v>
      </c>
      <c r="C51" s="27">
        <v>2</v>
      </c>
      <c r="D51" s="8" t="s">
        <v>0</v>
      </c>
      <c r="E51" s="6" t="s">
        <v>1</v>
      </c>
      <c r="F51" s="9" t="s">
        <v>2</v>
      </c>
      <c r="G51" s="9" t="s">
        <v>3</v>
      </c>
    </row>
    <row r="52" spans="1:7" ht="330" x14ac:dyDescent="0.25">
      <c r="A52" s="4" t="str">
        <f>IF(D52="","",IF([13]Informationen!D$13="","Keine Rolle angegeben",[13]Informationen!D$13))</f>
        <v>VNB</v>
      </c>
      <c r="B52" s="15" t="str">
        <f>IF(A52="","",[13]Informationen!C$12)</f>
        <v>inetz GmbH</v>
      </c>
      <c r="C52" s="27">
        <v>3</v>
      </c>
      <c r="D52" s="8" t="s">
        <v>0</v>
      </c>
      <c r="E52" s="6" t="s">
        <v>25</v>
      </c>
      <c r="F52" s="9" t="s">
        <v>26</v>
      </c>
      <c r="G52" s="9" t="s">
        <v>27</v>
      </c>
    </row>
    <row r="53" spans="1:7" ht="120" x14ac:dyDescent="0.25">
      <c r="A53" s="4" t="str">
        <f>IF(D53="","",IF([13]Informationen!D$13="","Keine Rolle angegeben",[13]Informationen!D$13))</f>
        <v>VNB</v>
      </c>
      <c r="B53" s="15" t="str">
        <f>IF(A53="","",[13]Informationen!C$12)</f>
        <v>inetz GmbH</v>
      </c>
      <c r="C53" s="27">
        <v>4</v>
      </c>
      <c r="D53" s="8" t="s">
        <v>0</v>
      </c>
      <c r="E53" s="6" t="s">
        <v>28</v>
      </c>
      <c r="F53" s="9" t="s">
        <v>29</v>
      </c>
      <c r="G53" s="9" t="s">
        <v>30</v>
      </c>
    </row>
    <row r="54" spans="1:7" ht="90" x14ac:dyDescent="0.25">
      <c r="A54" s="4" t="str">
        <f>IF(D54="","",IF([13]Informationen!D$13="","Keine Rolle angegeben",[13]Informationen!D$13))</f>
        <v>VNB</v>
      </c>
      <c r="B54" s="15" t="str">
        <f>IF(A54="","",[13]Informationen!C$12)</f>
        <v>inetz GmbH</v>
      </c>
      <c r="C54" s="27">
        <v>5</v>
      </c>
      <c r="D54" s="8" t="s">
        <v>31</v>
      </c>
      <c r="E54" s="6" t="s">
        <v>32</v>
      </c>
      <c r="F54" s="9"/>
      <c r="G54" s="9" t="s">
        <v>245</v>
      </c>
    </row>
    <row r="55" spans="1:7" ht="150" x14ac:dyDescent="0.25">
      <c r="A55" s="4" t="str">
        <f>IF(D55="","",IF([13]Informationen!D$13="","Keine Rolle angegeben",[13]Informationen!D$13))</f>
        <v>VNB</v>
      </c>
      <c r="B55" s="15" t="str">
        <f>IF(A55="","",[13]Informationen!C$12)</f>
        <v>inetz GmbH</v>
      </c>
      <c r="C55" s="27">
        <v>6</v>
      </c>
      <c r="D55" s="8" t="s">
        <v>4</v>
      </c>
      <c r="E55" s="6" t="s">
        <v>5</v>
      </c>
      <c r="F55" s="9" t="s">
        <v>6</v>
      </c>
      <c r="G55" s="9" t="s">
        <v>7</v>
      </c>
    </row>
    <row r="56" spans="1:7" ht="135" x14ac:dyDescent="0.25">
      <c r="A56" s="4" t="str">
        <f>IF(D56="","",IF([13]Informationen!D$13="","Keine Rolle angegeben",[13]Informationen!D$13))</f>
        <v>VNB</v>
      </c>
      <c r="B56" s="15" t="str">
        <f>IF(A56="","",[13]Informationen!C$12)</f>
        <v>inetz GmbH</v>
      </c>
      <c r="C56" s="27">
        <v>7</v>
      </c>
      <c r="D56" s="8" t="s">
        <v>4</v>
      </c>
      <c r="E56" s="6" t="s">
        <v>37</v>
      </c>
      <c r="F56" s="9" t="s">
        <v>38</v>
      </c>
      <c r="G56" s="9" t="s">
        <v>39</v>
      </c>
    </row>
    <row r="57" spans="1:7" ht="45" x14ac:dyDescent="0.25">
      <c r="A57" s="4" t="str">
        <f>IF(D57="","",IF([13]Informationen!D$13="","Keine Rolle angegeben",[13]Informationen!D$13))</f>
        <v>VNB</v>
      </c>
      <c r="B57" s="15" t="str">
        <f>IF(A57="","",[13]Informationen!C$12)</f>
        <v>inetz GmbH</v>
      </c>
      <c r="C57" s="27">
        <v>8</v>
      </c>
      <c r="D57" s="8" t="s">
        <v>4</v>
      </c>
      <c r="E57" s="6" t="s">
        <v>40</v>
      </c>
      <c r="F57" s="9"/>
      <c r="G57" s="9" t="s">
        <v>246</v>
      </c>
    </row>
    <row r="58" spans="1:7" ht="45" x14ac:dyDescent="0.25">
      <c r="A58" s="4" t="str">
        <f>IF(D58="","",IF([13]Informationen!D$13="","Keine Rolle angegeben",[13]Informationen!D$13))</f>
        <v>VNB</v>
      </c>
      <c r="B58" s="15" t="str">
        <f>IF(A58="","",[13]Informationen!C$12)</f>
        <v>inetz GmbH</v>
      </c>
      <c r="C58" s="27">
        <v>9</v>
      </c>
      <c r="D58" s="8" t="s">
        <v>4</v>
      </c>
      <c r="E58" s="6" t="s">
        <v>8</v>
      </c>
      <c r="F58" s="9" t="s">
        <v>43</v>
      </c>
      <c r="G58" s="9" t="s">
        <v>247</v>
      </c>
    </row>
    <row r="59" spans="1:7" ht="135" x14ac:dyDescent="0.25">
      <c r="A59" s="4" t="str">
        <f>IF(D59="","",IF([13]Informationen!D$13="","Keine Rolle angegeben",[13]Informationen!D$13))</f>
        <v>VNB</v>
      </c>
      <c r="B59" s="15" t="str">
        <f>IF(A59="","",[13]Informationen!C$12)</f>
        <v>inetz GmbH</v>
      </c>
      <c r="C59" s="27">
        <v>10</v>
      </c>
      <c r="D59" s="8" t="s">
        <v>45</v>
      </c>
      <c r="E59" s="6"/>
      <c r="F59" s="9" t="s">
        <v>46</v>
      </c>
      <c r="G59" s="9" t="s">
        <v>47</v>
      </c>
    </row>
    <row r="60" spans="1:7" ht="135" x14ac:dyDescent="0.25">
      <c r="A60" s="4" t="str">
        <f>IF(D60="","",IF([13]Informationen!D$13="","Keine Rolle angegeben",[13]Informationen!D$13))</f>
        <v>VNB</v>
      </c>
      <c r="B60" s="15" t="str">
        <f>IF(A60="","",[13]Informationen!C$12)</f>
        <v>inetz GmbH</v>
      </c>
      <c r="C60" s="27">
        <v>11</v>
      </c>
      <c r="D60" s="8" t="s">
        <v>45</v>
      </c>
      <c r="E60" s="6"/>
      <c r="F60" s="9" t="s">
        <v>46</v>
      </c>
      <c r="G60" s="9" t="s">
        <v>48</v>
      </c>
    </row>
    <row r="61" spans="1:7" ht="45" x14ac:dyDescent="0.25">
      <c r="A61" s="4" t="str">
        <f>IF(D61="","",IF([13]Informationen!D$13="","Keine Rolle angegeben",[13]Informationen!D$13))</f>
        <v>VNB</v>
      </c>
      <c r="B61" s="15" t="str">
        <f>IF(A61="","",[13]Informationen!C$12)</f>
        <v>inetz GmbH</v>
      </c>
      <c r="C61" s="27">
        <v>12</v>
      </c>
      <c r="D61" s="8" t="s">
        <v>45</v>
      </c>
      <c r="E61" s="6"/>
      <c r="F61" s="9" t="s">
        <v>248</v>
      </c>
      <c r="G61" s="9"/>
    </row>
    <row r="62" spans="1:7" ht="45" x14ac:dyDescent="0.25">
      <c r="A62" s="4" t="str">
        <f>IF(D62="","",IF([13]Informationen!D$13="","Keine Rolle angegeben",[13]Informationen!D$13))</f>
        <v>VNB</v>
      </c>
      <c r="B62" s="15" t="str">
        <f>IF(A62="","",[13]Informationen!C$12)</f>
        <v>inetz GmbH</v>
      </c>
      <c r="C62" s="27">
        <v>13</v>
      </c>
      <c r="D62" s="8" t="s">
        <v>45</v>
      </c>
      <c r="E62" s="6"/>
      <c r="F62" s="9" t="s">
        <v>249</v>
      </c>
      <c r="G62" s="9" t="s">
        <v>250</v>
      </c>
    </row>
    <row r="63" spans="1:7" ht="375" x14ac:dyDescent="0.25">
      <c r="A63" s="4" t="str">
        <f>IF(D63="","",IF([14]Informationen!D$13="","Keine Rolle angegeben",[14]Informationen!D$13))</f>
        <v>VNB</v>
      </c>
      <c r="B63" s="15" t="str">
        <f>IF(A63="","",[14]Informationen!C$12)</f>
        <v>KEW Kommunale Energie- und Wasserversorgung AG</v>
      </c>
      <c r="C63" s="27">
        <v>1</v>
      </c>
      <c r="D63" s="8" t="s">
        <v>0</v>
      </c>
      <c r="E63" s="6" t="s">
        <v>1</v>
      </c>
      <c r="F63" s="9" t="s">
        <v>2</v>
      </c>
      <c r="G63" s="9" t="s">
        <v>3</v>
      </c>
    </row>
    <row r="64" spans="1:7" ht="150" x14ac:dyDescent="0.25">
      <c r="A64" s="4" t="str">
        <f>IF(D64="","",IF([14]Informationen!D$13="","Keine Rolle angegeben",[14]Informationen!D$13))</f>
        <v>VNB</v>
      </c>
      <c r="B64" s="15" t="str">
        <f>IF(A64="","",[14]Informationen!C$12)</f>
        <v>KEW Kommunale Energie- und Wasserversorgung AG</v>
      </c>
      <c r="C64" s="27">
        <v>2</v>
      </c>
      <c r="D64" s="8" t="s">
        <v>4</v>
      </c>
      <c r="E64" s="6" t="s">
        <v>5</v>
      </c>
      <c r="F64" s="9" t="s">
        <v>6</v>
      </c>
      <c r="G64" s="9" t="s">
        <v>7</v>
      </c>
    </row>
    <row r="65" spans="1:7" ht="375" x14ac:dyDescent="0.25">
      <c r="A65" s="4" t="str">
        <f>IF(D65="","",IF([15]Informationen!D$13="","Keine Rolle angegeben",[15]Informationen!D$13))</f>
        <v>VNB</v>
      </c>
      <c r="B65" s="15" t="str">
        <f>IF(A65="","",[15]Informationen!C$12)</f>
        <v>Kreiswerke Main-Kinzig GmbH</v>
      </c>
      <c r="C65" s="27">
        <v>1</v>
      </c>
      <c r="D65" s="8" t="s">
        <v>0</v>
      </c>
      <c r="E65" s="6" t="s">
        <v>1</v>
      </c>
      <c r="F65" s="9" t="s">
        <v>2</v>
      </c>
      <c r="G65" s="9" t="s">
        <v>3</v>
      </c>
    </row>
    <row r="66" spans="1:7" ht="150" x14ac:dyDescent="0.25">
      <c r="A66" s="4" t="str">
        <f>IF(D66="","",IF([15]Informationen!D$13="","Keine Rolle angegeben",[15]Informationen!D$13))</f>
        <v>VNB</v>
      </c>
      <c r="B66" s="15" t="str">
        <f>IF(A66="","",[15]Informationen!C$12)</f>
        <v>Kreiswerke Main-Kinzig GmbH</v>
      </c>
      <c r="C66" s="27">
        <v>2</v>
      </c>
      <c r="D66" s="8" t="s">
        <v>4</v>
      </c>
      <c r="E66" s="6" t="s">
        <v>5</v>
      </c>
      <c r="F66" s="9" t="s">
        <v>6</v>
      </c>
      <c r="G66" s="9" t="s">
        <v>7</v>
      </c>
    </row>
    <row r="67" spans="1:7" ht="375" x14ac:dyDescent="0.25">
      <c r="A67" s="4" t="str">
        <f>IF(D67="","",IF([16]Informationen!D$13="","Keine Rolle angegeben",[16]Informationen!D$13))</f>
        <v>VNB</v>
      </c>
      <c r="B67" s="15" t="str">
        <f>IF(A67="","",[16]Informationen!C$12)</f>
        <v>LeineNetz GmbH</v>
      </c>
      <c r="C67" s="27">
        <v>1</v>
      </c>
      <c r="D67" s="8" t="s">
        <v>0</v>
      </c>
      <c r="E67" s="6" t="s">
        <v>1</v>
      </c>
      <c r="F67" s="9" t="s">
        <v>2</v>
      </c>
      <c r="G67" s="9" t="s">
        <v>3</v>
      </c>
    </row>
    <row r="68" spans="1:7" ht="150" x14ac:dyDescent="0.25">
      <c r="A68" s="4" t="str">
        <f>IF(D68="","",IF([16]Informationen!D$13="","Keine Rolle angegeben",[16]Informationen!D$13))</f>
        <v>VNB</v>
      </c>
      <c r="B68" s="15" t="str">
        <f>IF(A68="","",[16]Informationen!C$12)</f>
        <v>LeineNetz GmbH</v>
      </c>
      <c r="C68" s="27">
        <v>2</v>
      </c>
      <c r="D68" s="8" t="s">
        <v>4</v>
      </c>
      <c r="E68" s="6" t="s">
        <v>5</v>
      </c>
      <c r="F68" s="9" t="s">
        <v>6</v>
      </c>
      <c r="G68" s="9" t="s">
        <v>7</v>
      </c>
    </row>
    <row r="69" spans="1:7" ht="150" x14ac:dyDescent="0.25">
      <c r="A69" s="4" t="str">
        <f>IF(D69="","",IF([17]Informationen!D$13="","Keine Rolle angegeben",[17]Informationen!D$13))</f>
        <v>VNB</v>
      </c>
      <c r="B69" s="15" t="str">
        <f>IF(A69="","",[17]Informationen!C$12)</f>
        <v>Mainfranken Netze GmbH</v>
      </c>
      <c r="C69" s="27">
        <v>1</v>
      </c>
      <c r="D69" s="8" t="s">
        <v>0</v>
      </c>
      <c r="E69" s="1" t="s">
        <v>49</v>
      </c>
      <c r="F69" s="5" t="s">
        <v>157</v>
      </c>
      <c r="G69" s="5" t="s">
        <v>158</v>
      </c>
    </row>
    <row r="70" spans="1:7" ht="45" x14ac:dyDescent="0.25">
      <c r="A70" s="4" t="str">
        <f>IF(D70="","",IF([17]Informationen!D$13="","Keine Rolle angegeben",[17]Informationen!D$13))</f>
        <v>VNB</v>
      </c>
      <c r="B70" s="15" t="str">
        <f>IF(A70="","",[17]Informationen!C$12)</f>
        <v>Mainfranken Netze GmbH</v>
      </c>
      <c r="C70" s="27">
        <v>2</v>
      </c>
      <c r="D70" s="8" t="s">
        <v>0</v>
      </c>
      <c r="E70" s="1" t="s">
        <v>138</v>
      </c>
      <c r="F70" s="5" t="s">
        <v>139</v>
      </c>
      <c r="G70" s="5" t="s">
        <v>140</v>
      </c>
    </row>
    <row r="71" spans="1:7" ht="60" x14ac:dyDescent="0.25">
      <c r="A71" s="4" t="str">
        <f>IF(D71="","",IF([17]Informationen!D$13="","Keine Rolle angegeben",[17]Informationen!D$13))</f>
        <v>VNB</v>
      </c>
      <c r="B71" s="15" t="str">
        <f>IF(A71="","",[17]Informationen!C$12)</f>
        <v>Mainfranken Netze GmbH</v>
      </c>
      <c r="C71" s="27">
        <v>3</v>
      </c>
      <c r="D71" s="8" t="s">
        <v>0</v>
      </c>
      <c r="E71" s="1" t="s">
        <v>141</v>
      </c>
      <c r="F71" s="9" t="s">
        <v>142</v>
      </c>
      <c r="G71" s="9" t="s">
        <v>143</v>
      </c>
    </row>
    <row r="72" spans="1:7" ht="120" x14ac:dyDescent="0.25">
      <c r="A72" s="4" t="str">
        <f>IF(D72="","",IF([17]Informationen!D$13="","Keine Rolle angegeben",[17]Informationen!D$13))</f>
        <v>VNB</v>
      </c>
      <c r="B72" s="15" t="str">
        <f>IF(A72="","",[17]Informationen!C$12)</f>
        <v>Mainfranken Netze GmbH</v>
      </c>
      <c r="C72" s="27">
        <v>4</v>
      </c>
      <c r="D72" s="8" t="s">
        <v>4</v>
      </c>
      <c r="E72" s="1" t="s">
        <v>144</v>
      </c>
      <c r="F72" s="5" t="s">
        <v>159</v>
      </c>
      <c r="G72" s="5" t="s">
        <v>146</v>
      </c>
    </row>
    <row r="73" spans="1:7" ht="409.5" x14ac:dyDescent="0.25">
      <c r="A73" s="4" t="str">
        <f>IF(D73="","",IF([17]Informationen!D$13="","Keine Rolle angegeben",[17]Informationen!D$13))</f>
        <v>VNB</v>
      </c>
      <c r="B73" s="15" t="str">
        <f>IF(A73="","",[17]Informationen!C$12)</f>
        <v>Mainfranken Netze GmbH</v>
      </c>
      <c r="C73" s="27">
        <v>5</v>
      </c>
      <c r="D73" s="8" t="s">
        <v>4</v>
      </c>
      <c r="E73" s="1" t="s">
        <v>40</v>
      </c>
      <c r="F73" s="5" t="s">
        <v>160</v>
      </c>
      <c r="G73" s="5" t="s">
        <v>161</v>
      </c>
    </row>
    <row r="74" spans="1:7" ht="409.5" x14ac:dyDescent="0.25">
      <c r="A74" s="4" t="str">
        <f>IF(D74="","",IF([17]Informationen!D$13="","Keine Rolle angegeben",[17]Informationen!D$13))</f>
        <v>VNB</v>
      </c>
      <c r="B74" s="15" t="str">
        <f>IF(A74="","",[17]Informationen!C$12)</f>
        <v>Mainfranken Netze GmbH</v>
      </c>
      <c r="C74" s="27">
        <v>6</v>
      </c>
      <c r="D74" s="8" t="s">
        <v>45</v>
      </c>
      <c r="E74" s="1"/>
      <c r="F74" s="5" t="s">
        <v>149</v>
      </c>
      <c r="G74" s="5" t="s">
        <v>150</v>
      </c>
    </row>
    <row r="75" spans="1:7" ht="60" x14ac:dyDescent="0.25">
      <c r="A75" s="4" t="str">
        <f>IF(D75="","",IF([17]Informationen!D$13="","Keine Rolle angegeben",[17]Informationen!D$13))</f>
        <v>VNB</v>
      </c>
      <c r="B75" s="15" t="str">
        <f>IF(A75="","",[17]Informationen!C$12)</f>
        <v>Mainfranken Netze GmbH</v>
      </c>
      <c r="C75" s="27">
        <v>7</v>
      </c>
      <c r="D75" s="8" t="s">
        <v>45</v>
      </c>
      <c r="E75" s="1"/>
      <c r="F75" s="5" t="s">
        <v>151</v>
      </c>
      <c r="G75" s="5" t="s">
        <v>152</v>
      </c>
    </row>
    <row r="76" spans="1:7" ht="90" x14ac:dyDescent="0.25">
      <c r="A76" s="4" t="str">
        <f>IF(D76="","",IF([17]Informationen!D$13="","Keine Rolle angegeben",[17]Informationen!D$13))</f>
        <v>VNB</v>
      </c>
      <c r="B76" s="15" t="str">
        <f>IF(A76="","",[17]Informationen!C$12)</f>
        <v>Mainfranken Netze GmbH</v>
      </c>
      <c r="C76" s="27">
        <v>8</v>
      </c>
      <c r="D76" s="8" t="s">
        <v>45</v>
      </c>
      <c r="E76" s="6"/>
      <c r="F76" s="9" t="s">
        <v>153</v>
      </c>
      <c r="G76" s="9" t="s">
        <v>154</v>
      </c>
    </row>
    <row r="77" spans="1:7" ht="60" x14ac:dyDescent="0.25">
      <c r="A77" s="4" t="str">
        <f>IF(D77="","",IF([17]Informationen!D$13="","Keine Rolle angegeben",[17]Informationen!D$13))</f>
        <v>VNB</v>
      </c>
      <c r="B77" s="15" t="str">
        <f>IF(A77="","",[17]Informationen!C$12)</f>
        <v>Mainfranken Netze GmbH</v>
      </c>
      <c r="C77" s="27">
        <v>9</v>
      </c>
      <c r="D77" s="8" t="s">
        <v>45</v>
      </c>
      <c r="E77" s="6"/>
      <c r="F77" s="9" t="s">
        <v>155</v>
      </c>
      <c r="G77" s="9" t="s">
        <v>156</v>
      </c>
    </row>
    <row r="78" spans="1:7" ht="375" x14ac:dyDescent="0.25">
      <c r="A78" s="4" t="str">
        <f>IF(D78="","",IF([18]Informationen!D$13="","Keine Rolle angegeben",[18]Informationen!D$13))</f>
        <v>VNB</v>
      </c>
      <c r="B78" s="15" t="str">
        <f>IF(A78="","",[18]Informationen!C$12)</f>
        <v>Mainnetz GmbH</v>
      </c>
      <c r="C78" s="27">
        <v>1</v>
      </c>
      <c r="D78" s="8" t="s">
        <v>0</v>
      </c>
      <c r="E78" s="6" t="s">
        <v>1</v>
      </c>
      <c r="F78" s="9" t="s">
        <v>2</v>
      </c>
      <c r="G78" s="9" t="s">
        <v>3</v>
      </c>
    </row>
    <row r="79" spans="1:7" ht="150" x14ac:dyDescent="0.25">
      <c r="A79" s="4" t="str">
        <f>IF(D79="","",IF([18]Informationen!D$13="","Keine Rolle angegeben",[18]Informationen!D$13))</f>
        <v>VNB</v>
      </c>
      <c r="B79" s="15" t="str">
        <f>IF(A79="","",[18]Informationen!C$12)</f>
        <v>Mainnetz GmbH</v>
      </c>
      <c r="C79" s="27">
        <v>2</v>
      </c>
      <c r="D79" s="8" t="s">
        <v>4</v>
      </c>
      <c r="E79" s="6" t="s">
        <v>5</v>
      </c>
      <c r="F79" s="9" t="s">
        <v>6</v>
      </c>
      <c r="G79" s="9" t="s">
        <v>7</v>
      </c>
    </row>
    <row r="80" spans="1:7" ht="375" x14ac:dyDescent="0.25">
      <c r="A80" s="4" t="str">
        <f>IF(D80="","",IF([19]Informationen!D$13="","Keine Rolle angegeben",[19]Informationen!D$13))</f>
        <v>VNB</v>
      </c>
      <c r="B80" s="15" t="str">
        <f>IF(A80="","",[19]Informationen!C$12)</f>
        <v>Mainzer Netze GmbH</v>
      </c>
      <c r="C80" s="27">
        <v>1</v>
      </c>
      <c r="D80" s="8" t="s">
        <v>0</v>
      </c>
      <c r="E80" s="6" t="s">
        <v>1</v>
      </c>
      <c r="F80" s="9" t="s">
        <v>2</v>
      </c>
      <c r="G80" s="9" t="s">
        <v>3</v>
      </c>
    </row>
    <row r="81" spans="1:7" ht="150" x14ac:dyDescent="0.25">
      <c r="A81" s="4" t="str">
        <f>IF(D81="","",IF([19]Informationen!D$13="","Keine Rolle angegeben",[19]Informationen!D$13))</f>
        <v>VNB</v>
      </c>
      <c r="B81" s="15" t="str">
        <f>IF(A81="","",[19]Informationen!C$12)</f>
        <v>Mainzer Netze GmbH</v>
      </c>
      <c r="C81" s="27">
        <v>2</v>
      </c>
      <c r="D81" s="8" t="s">
        <v>4</v>
      </c>
      <c r="E81" s="6" t="s">
        <v>5</v>
      </c>
      <c r="F81" s="9" t="s">
        <v>6</v>
      </c>
      <c r="G81" s="9" t="s">
        <v>7</v>
      </c>
    </row>
    <row r="82" spans="1:7" ht="409.5" x14ac:dyDescent="0.25">
      <c r="A82" s="4" t="str">
        <f>IF(D82="","",IF([20]Informationen!D$13="","Keine Rolle angegeben",[20]Informationen!D$13))</f>
        <v>VNB</v>
      </c>
      <c r="B82" s="15" t="str">
        <f>IF(A82="","",[20]Informationen!C$12)</f>
        <v>N-ERGIE Netz GmbH</v>
      </c>
      <c r="C82" s="27">
        <v>1</v>
      </c>
      <c r="D82" s="8" t="s">
        <v>0</v>
      </c>
      <c r="E82" s="6" t="s">
        <v>81</v>
      </c>
      <c r="F82" s="9" t="s">
        <v>82</v>
      </c>
      <c r="G82" s="9" t="s">
        <v>287</v>
      </c>
    </row>
    <row r="83" spans="1:7" ht="45" x14ac:dyDescent="0.25">
      <c r="A83" s="4" t="str">
        <f>IF(D83="","",IF([20]Informationen!D$13="","Keine Rolle angegeben",[20]Informationen!D$13))</f>
        <v>VNB</v>
      </c>
      <c r="B83" s="15" t="str">
        <f>IF(A83="","",[20]Informationen!C$12)</f>
        <v>N-ERGIE Netz GmbH</v>
      </c>
      <c r="C83" s="27">
        <v>2</v>
      </c>
      <c r="D83" s="8" t="s">
        <v>4</v>
      </c>
      <c r="E83" s="6" t="s">
        <v>37</v>
      </c>
      <c r="F83" s="17" t="s">
        <v>83</v>
      </c>
      <c r="G83" s="9"/>
    </row>
    <row r="84" spans="1:7" ht="60" x14ac:dyDescent="0.25">
      <c r="A84" s="4" t="str">
        <f>IF(D84="","",IF([20]Informationen!D$13="","Keine Rolle angegeben",[20]Informationen!D$13))</f>
        <v>VNB</v>
      </c>
      <c r="B84" s="15" t="str">
        <f>IF(A84="","",[20]Informationen!C$12)</f>
        <v>N-ERGIE Netz GmbH</v>
      </c>
      <c r="C84" s="27">
        <v>3</v>
      </c>
      <c r="D84" s="8" t="s">
        <v>4</v>
      </c>
      <c r="E84" s="6" t="s">
        <v>44</v>
      </c>
      <c r="F84" s="9" t="s">
        <v>84</v>
      </c>
      <c r="G84" s="9"/>
    </row>
    <row r="85" spans="1:7" ht="75" x14ac:dyDescent="0.25">
      <c r="A85" s="4" t="str">
        <f>IF(D85="","",IF([20]Informationen!D$13="","Keine Rolle angegeben",[20]Informationen!D$13))</f>
        <v>VNB</v>
      </c>
      <c r="B85" s="15" t="str">
        <f>IF(A85="","",[20]Informationen!C$12)</f>
        <v>N-ERGIE Netz GmbH</v>
      </c>
      <c r="C85" s="27">
        <v>4</v>
      </c>
      <c r="D85" s="8" t="s">
        <v>4</v>
      </c>
      <c r="E85" s="6" t="s">
        <v>85</v>
      </c>
      <c r="F85" s="18" t="s">
        <v>86</v>
      </c>
      <c r="G85" s="9" t="s">
        <v>87</v>
      </c>
    </row>
    <row r="86" spans="1:7" ht="75" x14ac:dyDescent="0.25">
      <c r="A86" s="4" t="str">
        <f>IF(D86="","",IF([20]Informationen!D$13="","Keine Rolle angegeben",[20]Informationen!D$13))</f>
        <v>VNB</v>
      </c>
      <c r="B86" s="15" t="str">
        <f>IF(A86="","",[20]Informationen!C$12)</f>
        <v>N-ERGIE Netz GmbH</v>
      </c>
      <c r="C86" s="27">
        <v>5</v>
      </c>
      <c r="D86" s="8" t="s">
        <v>4</v>
      </c>
      <c r="E86" s="6" t="s">
        <v>85</v>
      </c>
      <c r="F86" s="18" t="s">
        <v>88</v>
      </c>
      <c r="G86" s="9" t="s">
        <v>89</v>
      </c>
    </row>
    <row r="87" spans="1:7" ht="375" x14ac:dyDescent="0.25">
      <c r="A87" s="4" t="s">
        <v>284</v>
      </c>
      <c r="B87" s="15" t="s">
        <v>285</v>
      </c>
      <c r="C87" s="27">
        <v>1</v>
      </c>
      <c r="D87" s="8" t="s">
        <v>0</v>
      </c>
      <c r="E87" s="6" t="s">
        <v>1</v>
      </c>
      <c r="F87" s="9" t="s">
        <v>2</v>
      </c>
      <c r="G87" s="9" t="s">
        <v>3</v>
      </c>
    </row>
    <row r="88" spans="1:7" ht="150" x14ac:dyDescent="0.25">
      <c r="A88" s="4" t="s">
        <v>284</v>
      </c>
      <c r="B88" s="15" t="s">
        <v>285</v>
      </c>
      <c r="C88" s="27">
        <v>2</v>
      </c>
      <c r="D88" s="8" t="s">
        <v>4</v>
      </c>
      <c r="E88" s="6" t="s">
        <v>5</v>
      </c>
      <c r="F88" s="9" t="s">
        <v>6</v>
      </c>
      <c r="G88" s="9" t="s">
        <v>7</v>
      </c>
    </row>
    <row r="89" spans="1:7" ht="90" x14ac:dyDescent="0.25">
      <c r="A89" s="10" t="str">
        <f>IF(D89="","",IF([21]Informationen!D$13="","Keine Rolle angegeben",[21]Informationen!D$13))</f>
        <v>VNB</v>
      </c>
      <c r="B89" s="25" t="str">
        <f>IF(A89="","",[21]Informationen!C$12)</f>
        <v>Netz Leipzig GmbH</v>
      </c>
      <c r="C89" s="28">
        <v>1</v>
      </c>
      <c r="D89" s="11" t="s">
        <v>45</v>
      </c>
      <c r="E89" s="1"/>
      <c r="F89" s="5"/>
      <c r="G89" s="5" t="s">
        <v>217</v>
      </c>
    </row>
    <row r="90" spans="1:7" ht="120" x14ac:dyDescent="0.25">
      <c r="A90" s="10" t="str">
        <f>IF(D90="","",IF([21]Informationen!D$13="","Keine Rolle angegeben",[21]Informationen!D$13))</f>
        <v>VNB</v>
      </c>
      <c r="B90" s="25" t="str">
        <f>IF(A90="","",[21]Informationen!C$12)</f>
        <v>Netz Leipzig GmbH</v>
      </c>
      <c r="C90" s="28">
        <v>2</v>
      </c>
      <c r="D90" s="11" t="s">
        <v>10</v>
      </c>
      <c r="E90" s="1" t="s">
        <v>218</v>
      </c>
      <c r="F90" s="5" t="s">
        <v>219</v>
      </c>
      <c r="G90" s="5" t="s">
        <v>220</v>
      </c>
    </row>
    <row r="91" spans="1:7" ht="90" x14ac:dyDescent="0.25">
      <c r="A91" s="10" t="str">
        <f>IF(D91="","",IF([21]Informationen!D$13="","Keine Rolle angegeben",[21]Informationen!D$13))</f>
        <v>VNB</v>
      </c>
      <c r="B91" s="25" t="str">
        <f>IF(A91="","",[21]Informationen!C$12)</f>
        <v>Netz Leipzig GmbH</v>
      </c>
      <c r="C91" s="28">
        <v>3</v>
      </c>
      <c r="D91" s="11" t="s">
        <v>0</v>
      </c>
      <c r="E91" s="1" t="s">
        <v>221</v>
      </c>
      <c r="F91" s="5" t="s">
        <v>222</v>
      </c>
      <c r="G91" s="5" t="s">
        <v>223</v>
      </c>
    </row>
    <row r="92" spans="1:7" ht="165" x14ac:dyDescent="0.25">
      <c r="A92" s="10" t="str">
        <f>IF(D92="","",IF([21]Informationen!D$13="","Keine Rolle angegeben",[21]Informationen!D$13))</f>
        <v>VNB</v>
      </c>
      <c r="B92" s="25" t="str">
        <f>IF(A92="","",[21]Informationen!C$12)</f>
        <v>Netz Leipzig GmbH</v>
      </c>
      <c r="C92" s="28">
        <v>4</v>
      </c>
      <c r="D92" s="11" t="s">
        <v>0</v>
      </c>
      <c r="E92" s="1" t="s">
        <v>211</v>
      </c>
      <c r="F92" s="5" t="s">
        <v>224</v>
      </c>
      <c r="G92" s="5" t="s">
        <v>225</v>
      </c>
    </row>
    <row r="93" spans="1:7" ht="60" x14ac:dyDescent="0.25">
      <c r="A93" s="10" t="str">
        <f>IF(D93="","",IF([21]Informationen!D$13="","Keine Rolle angegeben",[21]Informationen!D$13))</f>
        <v>VNB</v>
      </c>
      <c r="B93" s="25" t="str">
        <f>IF(A93="","",[21]Informationen!C$12)</f>
        <v>Netz Leipzig GmbH</v>
      </c>
      <c r="C93" s="28">
        <v>5</v>
      </c>
      <c r="D93" s="11" t="s">
        <v>0</v>
      </c>
      <c r="E93" s="1" t="s">
        <v>226</v>
      </c>
      <c r="F93" s="5" t="s">
        <v>227</v>
      </c>
      <c r="G93" s="5" t="s">
        <v>228</v>
      </c>
    </row>
    <row r="94" spans="1:7" ht="165" x14ac:dyDescent="0.25">
      <c r="A94" s="10" t="str">
        <f>IF(D94="","",IF([21]Informationen!D$13="","Keine Rolle angegeben",[21]Informationen!D$13))</f>
        <v>VNB</v>
      </c>
      <c r="B94" s="25" t="str">
        <f>IF(A94="","",[21]Informationen!C$12)</f>
        <v>Netz Leipzig GmbH</v>
      </c>
      <c r="C94" s="28">
        <v>6</v>
      </c>
      <c r="D94" s="11" t="s">
        <v>31</v>
      </c>
      <c r="E94" s="1" t="s">
        <v>229</v>
      </c>
      <c r="F94" s="5" t="s">
        <v>230</v>
      </c>
      <c r="G94" s="5" t="s">
        <v>231</v>
      </c>
    </row>
    <row r="95" spans="1:7" ht="150" x14ac:dyDescent="0.25">
      <c r="A95" s="10" t="str">
        <f>IF(D95="","",IF([21]Informationen!D$13="","Keine Rolle angegeben",[21]Informationen!D$13))</f>
        <v>VNB</v>
      </c>
      <c r="B95" s="25" t="str">
        <f>IF(A95="","",[21]Informationen!C$12)</f>
        <v>Netz Leipzig GmbH</v>
      </c>
      <c r="C95" s="28">
        <v>7</v>
      </c>
      <c r="D95" s="11" t="s">
        <v>4</v>
      </c>
      <c r="E95" s="1" t="s">
        <v>232</v>
      </c>
      <c r="F95" s="5"/>
      <c r="G95" s="5" t="s">
        <v>233</v>
      </c>
    </row>
    <row r="96" spans="1:7" ht="409.5" x14ac:dyDescent="0.25">
      <c r="A96" s="10" t="str">
        <f>IF(D96="","",IF([21]Informationen!D$13="","Keine Rolle angegeben",[21]Informationen!D$13))</f>
        <v>VNB</v>
      </c>
      <c r="B96" s="25" t="str">
        <f>IF(A96="","",[21]Informationen!C$12)</f>
        <v>Netz Leipzig GmbH</v>
      </c>
      <c r="C96" s="28">
        <v>8</v>
      </c>
      <c r="D96" s="11" t="s">
        <v>4</v>
      </c>
      <c r="E96" s="1" t="s">
        <v>234</v>
      </c>
      <c r="F96" s="5" t="s">
        <v>235</v>
      </c>
      <c r="G96" s="5" t="s">
        <v>236</v>
      </c>
    </row>
    <row r="97" spans="1:7" ht="60" x14ac:dyDescent="0.25">
      <c r="A97" s="10" t="str">
        <f>IF(D97="","",IF([21]Informationen!D$13="","Keine Rolle angegeben",[21]Informationen!D$13))</f>
        <v>VNB</v>
      </c>
      <c r="B97" s="25" t="str">
        <f>IF(A97="","",[21]Informationen!C$12)</f>
        <v>Netz Leipzig GmbH</v>
      </c>
      <c r="C97" s="28">
        <v>9</v>
      </c>
      <c r="D97" s="11" t="s">
        <v>4</v>
      </c>
      <c r="E97" s="1" t="s">
        <v>237</v>
      </c>
      <c r="F97" s="5"/>
      <c r="G97" s="5" t="s">
        <v>238</v>
      </c>
    </row>
    <row r="98" spans="1:7" ht="90" x14ac:dyDescent="0.25">
      <c r="A98" s="10" t="str">
        <f>IF(D98="","",IF([21]Informationen!D$13="","Keine Rolle angegeben",[21]Informationen!D$13))</f>
        <v>VNB</v>
      </c>
      <c r="B98" s="25" t="str">
        <f>IF(A98="","",[21]Informationen!C$12)</f>
        <v>Netz Leipzig GmbH</v>
      </c>
      <c r="C98" s="28">
        <v>10</v>
      </c>
      <c r="D98" s="11" t="s">
        <v>4</v>
      </c>
      <c r="E98" s="1" t="s">
        <v>239</v>
      </c>
      <c r="F98" s="5"/>
      <c r="G98" s="5" t="s">
        <v>240</v>
      </c>
    </row>
    <row r="99" spans="1:7" ht="120" x14ac:dyDescent="0.25">
      <c r="A99" s="10" t="str">
        <f>IF(D99="","",IF([21]Informationen!D$13="","Keine Rolle angegeben",[21]Informationen!D$13))</f>
        <v>VNB</v>
      </c>
      <c r="B99" s="25" t="str">
        <f>IF(A99="","",[21]Informationen!C$12)</f>
        <v>Netz Leipzig GmbH</v>
      </c>
      <c r="C99" s="28">
        <v>11</v>
      </c>
      <c r="D99" s="11" t="s">
        <v>4</v>
      </c>
      <c r="E99" s="1" t="s">
        <v>44</v>
      </c>
      <c r="F99" s="5"/>
      <c r="G99" s="5" t="s">
        <v>241</v>
      </c>
    </row>
    <row r="100" spans="1:7" ht="75" x14ac:dyDescent="0.25">
      <c r="A100" s="10" t="str">
        <f>IF(D100="","",IF([21]Informationen!D$13="","Keine Rolle angegeben",[21]Informationen!D$13))</f>
        <v>VNB</v>
      </c>
      <c r="B100" s="25" t="str">
        <f>IF(A100="","",[21]Informationen!C$12)</f>
        <v>Netz Leipzig GmbH</v>
      </c>
      <c r="C100" s="28">
        <v>12</v>
      </c>
      <c r="D100" s="11" t="s">
        <v>4</v>
      </c>
      <c r="E100" s="1" t="s">
        <v>8</v>
      </c>
      <c r="F100" s="5"/>
      <c r="G100" s="5" t="s">
        <v>242</v>
      </c>
    </row>
    <row r="101" spans="1:7" ht="390" x14ac:dyDescent="0.25">
      <c r="A101" s="4" t="str">
        <f>IF(D101="","",IF([22]Informationen!D$13="","Keine Rolle angegeben",[22]Informationen!D$13))</f>
        <v>VNB</v>
      </c>
      <c r="B101" s="15" t="str">
        <f>IF(A101="","",[22]Informationen!C$12)</f>
        <v>Netze BW GmbH</v>
      </c>
      <c r="C101" s="27">
        <v>1</v>
      </c>
      <c r="D101" s="8" t="s">
        <v>45</v>
      </c>
      <c r="E101" s="6"/>
      <c r="F101" s="9" t="s">
        <v>119</v>
      </c>
      <c r="G101" s="9" t="s">
        <v>120</v>
      </c>
    </row>
    <row r="102" spans="1:7" ht="75" x14ac:dyDescent="0.25">
      <c r="A102" s="4" t="str">
        <f>IF(D102="","",IF([22]Informationen!D$13="","Keine Rolle angegeben",[22]Informationen!D$13))</f>
        <v>VNB</v>
      </c>
      <c r="B102" s="15" t="str">
        <f>IF(A102="","",[22]Informationen!C$12)</f>
        <v>Netze BW GmbH</v>
      </c>
      <c r="C102" s="27">
        <v>2</v>
      </c>
      <c r="D102" s="8" t="s">
        <v>0</v>
      </c>
      <c r="E102" s="6" t="s">
        <v>121</v>
      </c>
      <c r="F102" s="9" t="s">
        <v>122</v>
      </c>
      <c r="G102" s="9" t="s">
        <v>123</v>
      </c>
    </row>
    <row r="103" spans="1:7" ht="60" x14ac:dyDescent="0.25">
      <c r="A103" s="4" t="str">
        <f>IF(D103="","",IF([22]Informationen!D$13="","Keine Rolle angegeben",[22]Informationen!D$13))</f>
        <v>VNB</v>
      </c>
      <c r="B103" s="15" t="str">
        <f>IF(A103="","",[22]Informationen!C$12)</f>
        <v>Netze BW GmbH</v>
      </c>
      <c r="C103" s="27">
        <v>3</v>
      </c>
      <c r="D103" s="8" t="s">
        <v>31</v>
      </c>
      <c r="E103" s="6" t="s">
        <v>124</v>
      </c>
      <c r="F103" s="9" t="s">
        <v>125</v>
      </c>
      <c r="G103" s="9" t="s">
        <v>126</v>
      </c>
    </row>
    <row r="104" spans="1:7" ht="390" x14ac:dyDescent="0.25">
      <c r="A104" s="4" t="str">
        <f>IF(D104="","",IF([22]Informationen!D$13="","Keine Rolle angegeben",[22]Informationen!D$13))</f>
        <v>VNB</v>
      </c>
      <c r="B104" s="15" t="str">
        <f>IF(A104="","",[22]Informationen!C$12)</f>
        <v>Netze BW GmbH</v>
      </c>
      <c r="C104" s="27">
        <v>4</v>
      </c>
      <c r="D104" s="8" t="s">
        <v>4</v>
      </c>
      <c r="E104" s="6" t="s">
        <v>127</v>
      </c>
      <c r="F104" s="9" t="s">
        <v>128</v>
      </c>
      <c r="G104" s="9" t="s">
        <v>129</v>
      </c>
    </row>
    <row r="105" spans="1:7" ht="390" x14ac:dyDescent="0.25">
      <c r="A105" s="4" t="str">
        <f>IF(D105="","",IF([22]Informationen!D$13="","Keine Rolle angegeben",[22]Informationen!D$13))</f>
        <v>VNB</v>
      </c>
      <c r="B105" s="15" t="str">
        <f>IF(A105="","",[22]Informationen!C$12)</f>
        <v>Netze BW GmbH</v>
      </c>
      <c r="C105" s="27">
        <v>5</v>
      </c>
      <c r="D105" s="8" t="s">
        <v>4</v>
      </c>
      <c r="E105" s="6" t="s">
        <v>127</v>
      </c>
      <c r="F105" s="9" t="s">
        <v>130</v>
      </c>
      <c r="G105" s="9" t="s">
        <v>131</v>
      </c>
    </row>
    <row r="106" spans="1:7" ht="409.5" x14ac:dyDescent="0.25">
      <c r="A106" s="4" t="str">
        <f>IF(D106="","",IF([22]Informationen!D$13="","Keine Rolle angegeben",[22]Informationen!D$13))</f>
        <v>VNB</v>
      </c>
      <c r="B106" s="15" t="str">
        <f>IF(A106="","",[22]Informationen!C$12)</f>
        <v>Netze BW GmbH</v>
      </c>
      <c r="C106" s="27">
        <v>6</v>
      </c>
      <c r="D106" s="8" t="s">
        <v>4</v>
      </c>
      <c r="E106" s="6" t="s">
        <v>127</v>
      </c>
      <c r="F106" s="9" t="s">
        <v>132</v>
      </c>
      <c r="G106" s="9" t="s">
        <v>133</v>
      </c>
    </row>
    <row r="107" spans="1:7" ht="409.5" x14ac:dyDescent="0.25">
      <c r="A107" s="4" t="str">
        <f>IF(D107="","",IF([22]Informationen!D$13="","Keine Rolle angegeben",[22]Informationen!D$13))</f>
        <v>VNB</v>
      </c>
      <c r="B107" s="15" t="str">
        <f>IF(A107="","",[22]Informationen!C$12)</f>
        <v>Netze BW GmbH</v>
      </c>
      <c r="C107" s="27">
        <v>7</v>
      </c>
      <c r="D107" s="8" t="s">
        <v>4</v>
      </c>
      <c r="E107" s="6" t="s">
        <v>127</v>
      </c>
      <c r="F107" s="9" t="s">
        <v>134</v>
      </c>
      <c r="G107" s="9" t="s">
        <v>135</v>
      </c>
    </row>
    <row r="108" spans="1:7" ht="120" x14ac:dyDescent="0.25">
      <c r="A108" s="4" t="str">
        <f>IF(D108="","",IF([22]Informationen!D$13="","Keine Rolle angegeben",[22]Informationen!D$13))</f>
        <v>VNB</v>
      </c>
      <c r="B108" s="15" t="str">
        <f>IF(A108="","",[22]Informationen!C$12)</f>
        <v>Netze BW GmbH</v>
      </c>
      <c r="C108" s="27">
        <v>8</v>
      </c>
      <c r="D108" s="8" t="s">
        <v>4</v>
      </c>
      <c r="E108" s="6" t="s">
        <v>127</v>
      </c>
      <c r="F108" s="9" t="s">
        <v>136</v>
      </c>
      <c r="G108" s="9" t="s">
        <v>137</v>
      </c>
    </row>
    <row r="109" spans="1:7" ht="409.5" x14ac:dyDescent="0.25">
      <c r="A109" s="10" t="str">
        <f>IF(D109="","",IF([23]Informationen!D$13="","Keine Rolle angegeben",[23]Informationen!D$13))</f>
        <v>VNB</v>
      </c>
      <c r="B109" s="25" t="str">
        <f>IF(A109="","",[23]Informationen!C$12)</f>
        <v>Netzgesellschaft Frankfurt (Oder)</v>
      </c>
      <c r="C109" s="28">
        <v>1</v>
      </c>
      <c r="D109" s="11" t="s">
        <v>0</v>
      </c>
      <c r="E109" s="1" t="s">
        <v>1</v>
      </c>
      <c r="F109" s="5" t="s">
        <v>12</v>
      </c>
      <c r="G109" s="5" t="s">
        <v>13</v>
      </c>
    </row>
    <row r="110" spans="1:7" ht="195" x14ac:dyDescent="0.25">
      <c r="A110" s="10" t="str">
        <f>IF(D110="","",IF([23]Informationen!D$13="","Keine Rolle angegeben",[23]Informationen!D$13))</f>
        <v>VNB</v>
      </c>
      <c r="B110" s="25" t="str">
        <f>IF(A110="","",[23]Informationen!C$12)</f>
        <v>Netzgesellschaft Frankfurt (Oder)</v>
      </c>
      <c r="C110" s="28">
        <v>2</v>
      </c>
      <c r="D110" s="11" t="s">
        <v>4</v>
      </c>
      <c r="E110" s="1" t="s">
        <v>5</v>
      </c>
      <c r="F110" s="5" t="s">
        <v>14</v>
      </c>
      <c r="G110" s="5" t="s">
        <v>15</v>
      </c>
    </row>
    <row r="111" spans="1:7" ht="45" x14ac:dyDescent="0.25">
      <c r="A111" s="10" t="str">
        <f>IF(D111="","",IF([23]Informationen!D$13="","Keine Rolle angegeben",[23]Informationen!D$13))</f>
        <v>VNB</v>
      </c>
      <c r="B111" s="25" t="str">
        <f>IF(A111="","",[23]Informationen!C$12)</f>
        <v>Netzgesellschaft Frankfurt (Oder)</v>
      </c>
      <c r="C111" s="28">
        <v>3</v>
      </c>
      <c r="D111" s="11" t="s">
        <v>4</v>
      </c>
      <c r="E111" s="1" t="s">
        <v>16</v>
      </c>
      <c r="F111" s="5" t="s">
        <v>17</v>
      </c>
      <c r="G111" s="5" t="s">
        <v>18</v>
      </c>
    </row>
    <row r="112" spans="1:7" ht="60" x14ac:dyDescent="0.25">
      <c r="A112" s="10" t="str">
        <f>IF(D112="","",IF([23]Informationen!D$13="","Keine Rolle angegeben",[23]Informationen!D$13))</f>
        <v>VNB</v>
      </c>
      <c r="B112" s="25" t="str">
        <f>IF(A112="","",[23]Informationen!C$12)</f>
        <v>Netzgesellschaft Frankfurt (Oder)</v>
      </c>
      <c r="C112" s="28">
        <v>4</v>
      </c>
      <c r="D112" s="11" t="s">
        <v>4</v>
      </c>
      <c r="E112" s="1"/>
      <c r="F112" s="5" t="s">
        <v>19</v>
      </c>
      <c r="G112" s="5" t="s">
        <v>20</v>
      </c>
    </row>
    <row r="113" spans="1:7" ht="150" x14ac:dyDescent="0.25">
      <c r="A113" s="10" t="str">
        <f>IF(D113="","",IF([23]Informationen!D$13="","Keine Rolle angegeben",[23]Informationen!D$13))</f>
        <v>VNB</v>
      </c>
      <c r="B113" s="25" t="str">
        <f>IF(A113="","",[23]Informationen!C$12)</f>
        <v>Netzgesellschaft Frankfurt (Oder)</v>
      </c>
      <c r="C113" s="28">
        <v>5</v>
      </c>
      <c r="D113" s="11" t="s">
        <v>4</v>
      </c>
      <c r="E113" s="1" t="s">
        <v>8</v>
      </c>
      <c r="F113" s="5" t="s">
        <v>21</v>
      </c>
      <c r="G113" s="5" t="s">
        <v>15</v>
      </c>
    </row>
    <row r="114" spans="1:7" ht="375" x14ac:dyDescent="0.25">
      <c r="A114" s="4" t="str">
        <f>IF(D114="","",IF([24]Informationen!D$13="","Keine Rolle angegeben",[24]Informationen!D$13))</f>
        <v>VNB</v>
      </c>
      <c r="B114" s="15" t="str">
        <f>IF(A114="","",[24]Informationen!C$12)</f>
        <v>Netzgesellschaft Potsdam GmbH</v>
      </c>
      <c r="C114" s="27">
        <v>1</v>
      </c>
      <c r="D114" s="8" t="s">
        <v>0</v>
      </c>
      <c r="E114" s="6" t="s">
        <v>1</v>
      </c>
      <c r="F114" s="9" t="s">
        <v>261</v>
      </c>
      <c r="G114" s="9" t="s">
        <v>3</v>
      </c>
    </row>
    <row r="115" spans="1:7" ht="315" x14ac:dyDescent="0.25">
      <c r="A115" s="4" t="str">
        <f>IF(D115="","",IF([24]Informationen!D$13="","Keine Rolle angegeben",[24]Informationen!D$13))</f>
        <v>VNB</v>
      </c>
      <c r="B115" s="15" t="str">
        <f>IF(A115="","",[24]Informationen!C$12)</f>
        <v>Netzgesellschaft Potsdam GmbH</v>
      </c>
      <c r="C115" s="27">
        <v>2</v>
      </c>
      <c r="D115" s="8" t="s">
        <v>4</v>
      </c>
      <c r="E115" s="6" t="s">
        <v>5</v>
      </c>
      <c r="F115" s="9" t="s">
        <v>262</v>
      </c>
      <c r="G115" s="9" t="s">
        <v>263</v>
      </c>
    </row>
    <row r="116" spans="1:7" ht="90" x14ac:dyDescent="0.25">
      <c r="A116" s="4" t="str">
        <f>IF(D116="","",IF([24]Informationen!D$13="","Keine Rolle angegeben",[24]Informationen!D$13))</f>
        <v>VNB</v>
      </c>
      <c r="B116" s="15" t="str">
        <f>IF(A116="","",[24]Informationen!C$12)</f>
        <v>Netzgesellschaft Potsdam GmbH</v>
      </c>
      <c r="C116" s="27">
        <v>3</v>
      </c>
      <c r="D116" s="8" t="s">
        <v>4</v>
      </c>
      <c r="E116" s="6" t="s">
        <v>264</v>
      </c>
      <c r="F116" s="9" t="s">
        <v>265</v>
      </c>
      <c r="G116" s="9" t="s">
        <v>265</v>
      </c>
    </row>
    <row r="117" spans="1:7" ht="75" x14ac:dyDescent="0.25">
      <c r="A117" s="4" t="str">
        <f>IF(D117="","",IF([24]Informationen!D$13="","Keine Rolle angegeben",[24]Informationen!D$13))</f>
        <v>VNB</v>
      </c>
      <c r="B117" s="15" t="str">
        <f>IF(A117="","",[24]Informationen!C$12)</f>
        <v>Netzgesellschaft Potsdam GmbH</v>
      </c>
      <c r="C117" s="27">
        <v>4</v>
      </c>
      <c r="D117" s="8" t="s">
        <v>4</v>
      </c>
      <c r="E117" s="6" t="s">
        <v>266</v>
      </c>
      <c r="F117" s="9" t="s">
        <v>267</v>
      </c>
      <c r="G117" s="9" t="s">
        <v>267</v>
      </c>
    </row>
    <row r="118" spans="1:7" ht="45" x14ac:dyDescent="0.25">
      <c r="A118" s="4" t="str">
        <f>IF(D118="","",IF([24]Informationen!D$13="","Keine Rolle angegeben",[24]Informationen!D$13))</f>
        <v>VNB</v>
      </c>
      <c r="B118" s="15" t="str">
        <f>IF(A118="","",[24]Informationen!C$12)</f>
        <v>Netzgesellschaft Potsdam GmbH</v>
      </c>
      <c r="C118" s="27">
        <v>5</v>
      </c>
      <c r="D118" s="8" t="s">
        <v>4</v>
      </c>
      <c r="E118" s="6" t="s">
        <v>268</v>
      </c>
      <c r="F118" s="9" t="s">
        <v>268</v>
      </c>
      <c r="G118" s="9" t="s">
        <v>268</v>
      </c>
    </row>
    <row r="119" spans="1:7" ht="375" x14ac:dyDescent="0.25">
      <c r="A119" s="10" t="str">
        <f>IF(D119="","",IF([25]Informationen!D$13="","Keine Rolle angegeben",[25]Informationen!D$13))</f>
        <v>VNB</v>
      </c>
      <c r="B119" s="25" t="str">
        <f>IF(A119="","",[25]Informationen!C$12)</f>
        <v>Netzgesellschaft Schwerin mbH (NGS)</v>
      </c>
      <c r="C119" s="28">
        <v>1</v>
      </c>
      <c r="D119" s="11" t="s">
        <v>0</v>
      </c>
      <c r="E119" s="1" t="s">
        <v>49</v>
      </c>
      <c r="F119" s="5" t="s">
        <v>2</v>
      </c>
      <c r="G119" s="5" t="s">
        <v>3</v>
      </c>
    </row>
    <row r="120" spans="1:7" ht="45" x14ac:dyDescent="0.25">
      <c r="A120" s="10" t="str">
        <f>IF(D120="","",IF([25]Informationen!D$13="","Keine Rolle angegeben",[25]Informationen!D$13))</f>
        <v>VNB</v>
      </c>
      <c r="B120" s="25" t="str">
        <f>IF(A120="","",[25]Informationen!C$12)</f>
        <v>Netzgesellschaft Schwerin mbH (NGS)</v>
      </c>
      <c r="C120" s="28">
        <v>2</v>
      </c>
      <c r="D120" s="11" t="s">
        <v>0</v>
      </c>
      <c r="E120" s="1" t="s">
        <v>138</v>
      </c>
      <c r="F120" s="5" t="s">
        <v>139</v>
      </c>
      <c r="G120" s="5" t="s">
        <v>140</v>
      </c>
    </row>
    <row r="121" spans="1:7" ht="60" x14ac:dyDescent="0.25">
      <c r="A121" s="10" t="str">
        <f>IF(D121="","",IF([25]Informationen!D$13="","Keine Rolle angegeben",[25]Informationen!D$13))</f>
        <v>VNB</v>
      </c>
      <c r="B121" s="25" t="str">
        <f>IF(A121="","",[25]Informationen!C$12)</f>
        <v>Netzgesellschaft Schwerin mbH (NGS)</v>
      </c>
      <c r="C121" s="28">
        <v>3</v>
      </c>
      <c r="D121" s="11" t="s">
        <v>0</v>
      </c>
      <c r="E121" s="1" t="s">
        <v>141</v>
      </c>
      <c r="F121" s="5" t="s">
        <v>142</v>
      </c>
      <c r="G121" s="5" t="s">
        <v>143</v>
      </c>
    </row>
    <row r="122" spans="1:7" ht="45" x14ac:dyDescent="0.25">
      <c r="A122" s="10" t="str">
        <f>IF(D122="","",IF([25]Informationen!D$13="","Keine Rolle angegeben",[25]Informationen!D$13))</f>
        <v>VNB</v>
      </c>
      <c r="B122" s="25" t="str">
        <f>IF(A122="","",[25]Informationen!C$12)</f>
        <v>Netzgesellschaft Schwerin mbH (NGS)</v>
      </c>
      <c r="C122" s="28">
        <v>4</v>
      </c>
      <c r="D122" s="11" t="s">
        <v>4</v>
      </c>
      <c r="E122" s="1" t="s">
        <v>144</v>
      </c>
      <c r="F122" s="5" t="s">
        <v>145</v>
      </c>
      <c r="G122" s="5" t="s">
        <v>146</v>
      </c>
    </row>
    <row r="123" spans="1:7" ht="150" x14ac:dyDescent="0.25">
      <c r="A123" s="10" t="str">
        <f>IF(D123="","",IF([25]Informationen!D$13="","Keine Rolle angegeben",[25]Informationen!D$13))</f>
        <v>VNB</v>
      </c>
      <c r="B123" s="25" t="str">
        <f>IF(A123="","",[25]Informationen!C$12)</f>
        <v>Netzgesellschaft Schwerin mbH (NGS)</v>
      </c>
      <c r="C123" s="28">
        <v>5</v>
      </c>
      <c r="D123" s="11" t="s">
        <v>4</v>
      </c>
      <c r="E123" s="1" t="s">
        <v>40</v>
      </c>
      <c r="F123" s="5" t="s">
        <v>147</v>
      </c>
      <c r="G123" s="5" t="s">
        <v>148</v>
      </c>
    </row>
    <row r="124" spans="1:7" ht="409.5" x14ac:dyDescent="0.25">
      <c r="A124" s="10" t="str">
        <f>IF(D124="","",IF([25]Informationen!D$13="","Keine Rolle angegeben",[25]Informationen!D$13))</f>
        <v>VNB</v>
      </c>
      <c r="B124" s="25" t="str">
        <f>IF(A124="","",[25]Informationen!C$12)</f>
        <v>Netzgesellschaft Schwerin mbH (NGS)</v>
      </c>
      <c r="C124" s="28">
        <v>6</v>
      </c>
      <c r="D124" s="11" t="s">
        <v>45</v>
      </c>
      <c r="E124" s="1"/>
      <c r="F124" s="5" t="s">
        <v>149</v>
      </c>
      <c r="G124" s="5" t="s">
        <v>150</v>
      </c>
    </row>
    <row r="125" spans="1:7" ht="60" x14ac:dyDescent="0.25">
      <c r="A125" s="10" t="str">
        <f>IF(D125="","",IF([25]Informationen!D$13="","Keine Rolle angegeben",[25]Informationen!D$13))</f>
        <v>VNB</v>
      </c>
      <c r="B125" s="25" t="str">
        <f>IF(A125="","",[25]Informationen!C$12)</f>
        <v>Netzgesellschaft Schwerin mbH (NGS)</v>
      </c>
      <c r="C125" s="28">
        <v>7</v>
      </c>
      <c r="D125" s="11" t="s">
        <v>45</v>
      </c>
      <c r="E125" s="1"/>
      <c r="F125" s="5" t="s">
        <v>151</v>
      </c>
      <c r="G125" s="5" t="s">
        <v>152</v>
      </c>
    </row>
    <row r="126" spans="1:7" ht="90" x14ac:dyDescent="0.25">
      <c r="A126" s="10" t="str">
        <f>IF(D126="","",IF([25]Informationen!D$13="","Keine Rolle angegeben",[25]Informationen!D$13))</f>
        <v>VNB</v>
      </c>
      <c r="B126" s="25" t="str">
        <f>IF(A126="","",[25]Informationen!C$12)</f>
        <v>Netzgesellschaft Schwerin mbH (NGS)</v>
      </c>
      <c r="C126" s="28">
        <v>8</v>
      </c>
      <c r="D126" s="11" t="s">
        <v>45</v>
      </c>
      <c r="E126" s="1"/>
      <c r="F126" s="5" t="s">
        <v>153</v>
      </c>
      <c r="G126" s="5" t="s">
        <v>154</v>
      </c>
    </row>
    <row r="127" spans="1:7" ht="60" x14ac:dyDescent="0.25">
      <c r="A127" s="10" t="str">
        <f>IF(D127="","",IF([25]Informationen!D$13="","Keine Rolle angegeben",[25]Informationen!D$13))</f>
        <v>VNB</v>
      </c>
      <c r="B127" s="25" t="str">
        <f>IF(A127="","",[25]Informationen!C$12)</f>
        <v>Netzgesellschaft Schwerin mbH (NGS)</v>
      </c>
      <c r="C127" s="28">
        <v>9</v>
      </c>
      <c r="D127" s="11" t="s">
        <v>45</v>
      </c>
      <c r="E127" s="1"/>
      <c r="F127" s="5" t="s">
        <v>155</v>
      </c>
      <c r="G127" s="5" t="s">
        <v>156</v>
      </c>
    </row>
    <row r="128" spans="1:7" ht="375" x14ac:dyDescent="0.25">
      <c r="A128" s="4" t="str">
        <f>IF(D128="","",IF([26]Informationen!D$13="","Keine Rolle angegeben",[26]Informationen!D$13))</f>
        <v>VNB</v>
      </c>
      <c r="B128" s="15" t="str">
        <f>IF(A128="","",[26]Informationen!C$12)</f>
        <v>Netzwerke Saarlouis GmbH</v>
      </c>
      <c r="C128" s="27">
        <v>1</v>
      </c>
      <c r="D128" s="8" t="s">
        <v>0</v>
      </c>
      <c r="E128" s="6" t="s">
        <v>1</v>
      </c>
      <c r="F128" s="9" t="s">
        <v>2</v>
      </c>
      <c r="G128" s="9" t="s">
        <v>3</v>
      </c>
    </row>
    <row r="129" spans="1:7" ht="150" x14ac:dyDescent="0.25">
      <c r="A129" s="4" t="str">
        <f>IF(D129="","",IF([26]Informationen!D$13="","Keine Rolle angegeben",[26]Informationen!D$13))</f>
        <v>VNB</v>
      </c>
      <c r="B129" s="15" t="str">
        <f>IF(A129="","",[26]Informationen!C$12)</f>
        <v>Netzwerke Saarlouis GmbH</v>
      </c>
      <c r="C129" s="27">
        <v>2</v>
      </c>
      <c r="D129" s="8" t="s">
        <v>4</v>
      </c>
      <c r="E129" s="6" t="s">
        <v>5</v>
      </c>
      <c r="F129" s="9" t="s">
        <v>6</v>
      </c>
      <c r="G129" s="9" t="s">
        <v>7</v>
      </c>
    </row>
    <row r="130" spans="1:7" ht="375" x14ac:dyDescent="0.25">
      <c r="A130" s="4" t="str">
        <f>IF(D130="","",IF([27]Informationen!D$13="","Keine Rolle angegeben",[27]Informationen!D$13))</f>
        <v>VNB</v>
      </c>
      <c r="B130" s="15" t="str">
        <f>IF(A130="","",[27]Informationen!C$12)</f>
        <v>Neubrandenburger Stadtwerke GmbH</v>
      </c>
      <c r="C130" s="27">
        <v>1</v>
      </c>
      <c r="D130" s="8" t="s">
        <v>0</v>
      </c>
      <c r="E130" s="6" t="s">
        <v>1</v>
      </c>
      <c r="F130" s="9" t="s">
        <v>2</v>
      </c>
      <c r="G130" s="9" t="s">
        <v>3</v>
      </c>
    </row>
    <row r="131" spans="1:7" ht="150" x14ac:dyDescent="0.25">
      <c r="A131" s="4" t="str">
        <f>IF(D131="","",IF([27]Informationen!D$13="","Keine Rolle angegeben",[27]Informationen!D$13))</f>
        <v>VNB</v>
      </c>
      <c r="B131" s="15" t="str">
        <f>IF(A131="","",[27]Informationen!C$12)</f>
        <v>Neubrandenburger Stadtwerke GmbH</v>
      </c>
      <c r="C131" s="27">
        <v>2</v>
      </c>
      <c r="D131" s="8" t="s">
        <v>4</v>
      </c>
      <c r="E131" s="6" t="s">
        <v>5</v>
      </c>
      <c r="F131" s="9" t="s">
        <v>6</v>
      </c>
      <c r="G131" s="9" t="s">
        <v>7</v>
      </c>
    </row>
    <row r="132" spans="1:7" ht="375" x14ac:dyDescent="0.25">
      <c r="A132" s="4" t="str">
        <f>IF(D132="","",IF([28]Informationen!D$13="","Keine Rolle angegeben",[28]Informationen!D$13))</f>
        <v>Sonstiges</v>
      </c>
      <c r="B132" s="15" t="str">
        <f>IF(A132="","",[28]Informationen!C$12)</f>
        <v>Norddeutsche Allianz</v>
      </c>
      <c r="C132" s="27">
        <v>1</v>
      </c>
      <c r="D132" s="8" t="s">
        <v>0</v>
      </c>
      <c r="E132" s="6" t="s">
        <v>1</v>
      </c>
      <c r="F132" s="9" t="s">
        <v>2</v>
      </c>
      <c r="G132" s="9" t="s">
        <v>3</v>
      </c>
    </row>
    <row r="133" spans="1:7" ht="150" x14ac:dyDescent="0.25">
      <c r="A133" s="4" t="str">
        <f>IF(D133="","",IF([28]Informationen!D$13="","Keine Rolle angegeben",[28]Informationen!D$13))</f>
        <v>Sonstiges</v>
      </c>
      <c r="B133" s="15" t="str">
        <f>IF(A133="","",[28]Informationen!C$12)</f>
        <v>Norddeutsche Allianz</v>
      </c>
      <c r="C133" s="27">
        <v>2</v>
      </c>
      <c r="D133" s="8" t="s">
        <v>4</v>
      </c>
      <c r="E133" s="6" t="s">
        <v>5</v>
      </c>
      <c r="F133" s="9" t="s">
        <v>6</v>
      </c>
      <c r="G133" s="9" t="s">
        <v>7</v>
      </c>
    </row>
    <row r="134" spans="1:7" ht="375" x14ac:dyDescent="0.25">
      <c r="A134" s="4" t="str">
        <f>IF(D134="","",IF([29]Informationen!D$13="","Keine Rolle angegeben",[29]Informationen!D$13))</f>
        <v>VNB</v>
      </c>
      <c r="B134" s="15" t="str">
        <f>IF(A134="","",[29]Informationen!C$12)</f>
        <v xml:space="preserve">nvb Nordhorner Versorgungsbetriebe GmbH </v>
      </c>
      <c r="C134" s="27">
        <v>1</v>
      </c>
      <c r="D134" s="8" t="s">
        <v>0</v>
      </c>
      <c r="E134" s="6" t="s">
        <v>1</v>
      </c>
      <c r="F134" s="9" t="s">
        <v>2</v>
      </c>
      <c r="G134" s="9" t="s">
        <v>3</v>
      </c>
    </row>
    <row r="135" spans="1:7" ht="150" x14ac:dyDescent="0.25">
      <c r="A135" s="4" t="str">
        <f>IF(D135="","",IF([29]Informationen!D$13="","Keine Rolle angegeben",[29]Informationen!D$13))</f>
        <v>VNB</v>
      </c>
      <c r="B135" s="15" t="str">
        <f>IF(A135="","",[29]Informationen!C$12)</f>
        <v xml:space="preserve">nvb Nordhorner Versorgungsbetriebe GmbH </v>
      </c>
      <c r="C135" s="27">
        <v>2</v>
      </c>
      <c r="D135" s="8" t="s">
        <v>4</v>
      </c>
      <c r="E135" s="6" t="s">
        <v>5</v>
      </c>
      <c r="F135" s="9" t="s">
        <v>6</v>
      </c>
      <c r="G135" s="9" t="s">
        <v>7</v>
      </c>
    </row>
    <row r="136" spans="1:7" ht="150" x14ac:dyDescent="0.25">
      <c r="A136" s="4" t="str">
        <f>IF(D136="","",IF([30]Informationen!D$13="","Keine Rolle angegeben",[30]Informationen!D$13))</f>
        <v>VNB</v>
      </c>
      <c r="B136" s="15" t="str">
        <f>IF(A136="","",[30]Informationen!C$12)</f>
        <v>Oberhausener Netzgesellschaft</v>
      </c>
      <c r="C136" s="27">
        <v>1</v>
      </c>
      <c r="D136" s="8" t="s">
        <v>4</v>
      </c>
      <c r="E136" s="6" t="s">
        <v>5</v>
      </c>
      <c r="F136" s="9" t="s">
        <v>6</v>
      </c>
      <c r="G136" s="9" t="s">
        <v>7</v>
      </c>
    </row>
    <row r="137" spans="1:7" ht="375" x14ac:dyDescent="0.25">
      <c r="A137" s="4" t="str">
        <f>IF(D137="","",IF([31]Informationen!D$13="","Keine Rolle angegeben",[31]Informationen!D$13))</f>
        <v>VNB</v>
      </c>
      <c r="B137" s="15" t="str">
        <f>IF(A137="","",[31]Informationen!C$12)</f>
        <v>Regensburg Netz GmbH</v>
      </c>
      <c r="C137" s="27">
        <v>1</v>
      </c>
      <c r="D137" s="8" t="s">
        <v>0</v>
      </c>
      <c r="E137" s="6" t="s">
        <v>1</v>
      </c>
      <c r="F137" s="9" t="s">
        <v>2</v>
      </c>
      <c r="G137" s="9" t="s">
        <v>3</v>
      </c>
    </row>
    <row r="138" spans="1:7" ht="150" x14ac:dyDescent="0.25">
      <c r="A138" s="4" t="str">
        <f>IF(D138="","",IF([31]Informationen!D$13="","Keine Rolle angegeben",[31]Informationen!D$13))</f>
        <v>VNB</v>
      </c>
      <c r="B138" s="15" t="str">
        <f>IF(A138="","",[31]Informationen!C$12)</f>
        <v>Regensburg Netz GmbH</v>
      </c>
      <c r="C138" s="27">
        <v>2</v>
      </c>
      <c r="D138" s="8" t="s">
        <v>4</v>
      </c>
      <c r="E138" s="6" t="s">
        <v>5</v>
      </c>
      <c r="F138" s="9" t="s">
        <v>6</v>
      </c>
      <c r="G138" s="9" t="s">
        <v>7</v>
      </c>
    </row>
    <row r="139" spans="1:7" ht="375" x14ac:dyDescent="0.25">
      <c r="A139" s="4" t="str">
        <f>IF(D139="","",IF([32]Informationen!D$13="","Keine Rolle angegeben",[32]Informationen!D$13))</f>
        <v>VNB</v>
      </c>
      <c r="B139" s="15" t="str">
        <f>IF(A139="","",[32]Informationen!C$12)</f>
        <v>Regionalwerk Bodensee Netze GmbH &amp; Co. KG</v>
      </c>
      <c r="C139" s="27">
        <v>1</v>
      </c>
      <c r="D139" s="8" t="s">
        <v>0</v>
      </c>
      <c r="E139" s="6" t="s">
        <v>1</v>
      </c>
      <c r="F139" s="9" t="s">
        <v>2</v>
      </c>
      <c r="G139" s="9" t="s">
        <v>3</v>
      </c>
    </row>
    <row r="140" spans="1:7" ht="150" x14ac:dyDescent="0.25">
      <c r="A140" s="4" t="str">
        <f>IF(D140="","",IF([32]Informationen!D$13="","Keine Rolle angegeben",[32]Informationen!D$13))</f>
        <v>VNB</v>
      </c>
      <c r="B140" s="15" t="str">
        <f>IF(A140="","",[32]Informationen!C$12)</f>
        <v>Regionalwerk Bodensee Netze GmbH &amp; Co. KG</v>
      </c>
      <c r="C140" s="27">
        <v>2</v>
      </c>
      <c r="D140" s="8" t="s">
        <v>4</v>
      </c>
      <c r="E140" s="6" t="s">
        <v>5</v>
      </c>
      <c r="F140" s="9" t="s">
        <v>6</v>
      </c>
      <c r="G140" s="9" t="s">
        <v>7</v>
      </c>
    </row>
    <row r="141" spans="1:7" ht="135" x14ac:dyDescent="0.25">
      <c r="A141" s="10" t="str">
        <f>IF(D141="","",IF([33]Informationen!D$13="","Keine Rolle angegeben",[33]Informationen!D$13))</f>
        <v>VNB</v>
      </c>
      <c r="B141" s="25" t="str">
        <f>IF(A141="","",[33]Informationen!C$12)</f>
        <v>SachsenNetze GmbH</v>
      </c>
      <c r="C141" s="28">
        <v>1</v>
      </c>
      <c r="D141" s="11" t="s">
        <v>0</v>
      </c>
      <c r="E141" s="1" t="s">
        <v>49</v>
      </c>
      <c r="F141" s="5" t="s">
        <v>167</v>
      </c>
      <c r="G141" s="5" t="s">
        <v>168</v>
      </c>
    </row>
    <row r="142" spans="1:7" ht="105" x14ac:dyDescent="0.25">
      <c r="A142" s="10" t="str">
        <f>IF(D142="","",IF([33]Informationen!D$13="","Keine Rolle angegeben",[33]Informationen!D$13))</f>
        <v>VNB</v>
      </c>
      <c r="B142" s="25" t="str">
        <f>IF(A142="","",[33]Informationen!C$12)</f>
        <v>SachsenNetze GmbH</v>
      </c>
      <c r="C142" s="28">
        <v>2</v>
      </c>
      <c r="D142" s="11" t="s">
        <v>0</v>
      </c>
      <c r="E142" s="1" t="s">
        <v>138</v>
      </c>
      <c r="F142" s="5" t="s">
        <v>169</v>
      </c>
      <c r="G142" s="5" t="s">
        <v>170</v>
      </c>
    </row>
    <row r="143" spans="1:7" ht="150" x14ac:dyDescent="0.25">
      <c r="A143" s="10" t="str">
        <f>IF(D143="","",IF([33]Informationen!D$13="","Keine Rolle angegeben",[33]Informationen!D$13))</f>
        <v>VNB</v>
      </c>
      <c r="B143" s="25" t="str">
        <f>IF(A143="","",[33]Informationen!C$12)</f>
        <v>SachsenNetze GmbH</v>
      </c>
      <c r="C143" s="28">
        <v>3</v>
      </c>
      <c r="D143" s="11" t="s">
        <v>0</v>
      </c>
      <c r="E143" s="1" t="s">
        <v>171</v>
      </c>
      <c r="F143" s="5"/>
      <c r="G143" s="5" t="s">
        <v>172</v>
      </c>
    </row>
    <row r="144" spans="1:7" ht="60" x14ac:dyDescent="0.25">
      <c r="A144" s="10" t="str">
        <f>IF(D144="","",IF([33]Informationen!D$13="","Keine Rolle angegeben",[33]Informationen!D$13))</f>
        <v>VNB</v>
      </c>
      <c r="B144" s="25" t="str">
        <f>IF(A144="","",[33]Informationen!C$12)</f>
        <v>SachsenNetze GmbH</v>
      </c>
      <c r="C144" s="28">
        <v>4</v>
      </c>
      <c r="D144" s="11" t="s">
        <v>0</v>
      </c>
      <c r="E144" s="1" t="s">
        <v>171</v>
      </c>
      <c r="F144" s="5"/>
      <c r="G144" s="5" t="s">
        <v>173</v>
      </c>
    </row>
    <row r="145" spans="1:7" ht="150" x14ac:dyDescent="0.25">
      <c r="A145" s="10" t="str">
        <f>IF(D145="","",IF([33]Informationen!D$13="","Keine Rolle angegeben",[33]Informationen!D$13))</f>
        <v>VNB</v>
      </c>
      <c r="B145" s="25" t="str">
        <f>IF(A145="","",[33]Informationen!C$12)</f>
        <v>SachsenNetze GmbH</v>
      </c>
      <c r="C145" s="28">
        <v>5</v>
      </c>
      <c r="D145" s="11" t="s">
        <v>4</v>
      </c>
      <c r="E145" s="1" t="s">
        <v>37</v>
      </c>
      <c r="F145" s="5"/>
      <c r="G145" s="5" t="s">
        <v>174</v>
      </c>
    </row>
    <row r="146" spans="1:7" ht="345" x14ac:dyDescent="0.25">
      <c r="A146" s="10" t="str">
        <f>IF(D146="","",IF([33]Informationen!D$13="","Keine Rolle angegeben",[33]Informationen!D$13))</f>
        <v>VNB</v>
      </c>
      <c r="B146" s="25" t="str">
        <f>IF(A146="","",[33]Informationen!C$12)</f>
        <v>SachsenNetze GmbH</v>
      </c>
      <c r="C146" s="28">
        <v>6</v>
      </c>
      <c r="D146" s="11" t="s">
        <v>4</v>
      </c>
      <c r="E146" s="1" t="s">
        <v>40</v>
      </c>
      <c r="F146" s="5"/>
      <c r="G146" s="5" t="s">
        <v>175</v>
      </c>
    </row>
    <row r="147" spans="1:7" ht="240" x14ac:dyDescent="0.25">
      <c r="A147" s="10" t="str">
        <f>IF(D147="","",IF([33]Informationen!D$13="","Keine Rolle angegeben",[33]Informationen!D$13))</f>
        <v>VNB</v>
      </c>
      <c r="B147" s="25" t="str">
        <f>IF(A147="","",[33]Informationen!C$12)</f>
        <v>SachsenNetze GmbH</v>
      </c>
      <c r="C147" s="28">
        <v>7</v>
      </c>
      <c r="D147" s="11" t="s">
        <v>4</v>
      </c>
      <c r="E147" s="1" t="s">
        <v>40</v>
      </c>
      <c r="F147" s="5"/>
      <c r="G147" s="5" t="s">
        <v>176</v>
      </c>
    </row>
    <row r="148" spans="1:7" ht="225" x14ac:dyDescent="0.25">
      <c r="A148" s="10" t="str">
        <f>IF(D148="","",IF([33]Informationen!D$13="","Keine Rolle angegeben",[33]Informationen!D$13))</f>
        <v>VNB</v>
      </c>
      <c r="B148" s="25" t="str">
        <f>IF(A148="","",[33]Informationen!C$12)</f>
        <v>SachsenNetze GmbH</v>
      </c>
      <c r="C148" s="28">
        <v>8</v>
      </c>
      <c r="D148" s="11" t="s">
        <v>4</v>
      </c>
      <c r="E148" s="1" t="s">
        <v>177</v>
      </c>
      <c r="F148" s="5"/>
      <c r="G148" s="5" t="s">
        <v>178</v>
      </c>
    </row>
    <row r="149" spans="1:7" ht="255" x14ac:dyDescent="0.25">
      <c r="A149" s="10" t="str">
        <f>IF(D149="","",IF([33]Informationen!D$13="","Keine Rolle angegeben",[33]Informationen!D$13))</f>
        <v>VNB</v>
      </c>
      <c r="B149" s="25" t="str">
        <f>IF(A149="","",[33]Informationen!C$12)</f>
        <v>SachsenNetze GmbH</v>
      </c>
      <c r="C149" s="28">
        <v>9</v>
      </c>
      <c r="D149" s="11" t="s">
        <v>4</v>
      </c>
      <c r="E149" s="1" t="s">
        <v>179</v>
      </c>
      <c r="F149" s="5"/>
      <c r="G149" s="5" t="s">
        <v>180</v>
      </c>
    </row>
    <row r="150" spans="1:7" ht="135" x14ac:dyDescent="0.25">
      <c r="A150" s="10" t="str">
        <f>IF(D150="","",IF([33]Informationen!D$13="","Keine Rolle angegeben",[33]Informationen!D$13))</f>
        <v>VNB</v>
      </c>
      <c r="B150" s="25" t="str">
        <f>IF(A150="","",[33]Informationen!C$12)</f>
        <v>SachsenNetze GmbH</v>
      </c>
      <c r="C150" s="28">
        <v>10</v>
      </c>
      <c r="D150" s="11" t="s">
        <v>45</v>
      </c>
      <c r="E150" s="1" t="s">
        <v>171</v>
      </c>
      <c r="F150" s="5"/>
      <c r="G150" s="5" t="s">
        <v>181</v>
      </c>
    </row>
    <row r="151" spans="1:7" ht="135" x14ac:dyDescent="0.25">
      <c r="A151" s="10" t="str">
        <f>IF(D151="","",IF([34]Informationen!D$13="","Keine Rolle angegeben",[34]Informationen!D$13))</f>
        <v>VNB</v>
      </c>
      <c r="B151" s="25" t="str">
        <f>IF(A151="","",[34]Informationen!C$12)</f>
        <v>SachsenNetze HS.HD GmbH</v>
      </c>
      <c r="C151" s="28">
        <v>1</v>
      </c>
      <c r="D151" s="11" t="s">
        <v>0</v>
      </c>
      <c r="E151" s="1" t="s">
        <v>49</v>
      </c>
      <c r="F151" s="5" t="s">
        <v>167</v>
      </c>
      <c r="G151" s="5" t="s">
        <v>168</v>
      </c>
    </row>
    <row r="152" spans="1:7" ht="105" x14ac:dyDescent="0.25">
      <c r="A152" s="10" t="str">
        <f>IF(D152="","",IF([34]Informationen!D$13="","Keine Rolle angegeben",[34]Informationen!D$13))</f>
        <v>VNB</v>
      </c>
      <c r="B152" s="25" t="str">
        <f>IF(A152="","",[34]Informationen!C$12)</f>
        <v>SachsenNetze HS.HD GmbH</v>
      </c>
      <c r="C152" s="28">
        <v>2</v>
      </c>
      <c r="D152" s="11" t="s">
        <v>0</v>
      </c>
      <c r="E152" s="1" t="s">
        <v>138</v>
      </c>
      <c r="F152" s="5" t="s">
        <v>169</v>
      </c>
      <c r="G152" s="5" t="s">
        <v>170</v>
      </c>
    </row>
    <row r="153" spans="1:7" ht="150" x14ac:dyDescent="0.25">
      <c r="A153" s="10" t="str">
        <f>IF(D153="","",IF([34]Informationen!D$13="","Keine Rolle angegeben",[34]Informationen!D$13))</f>
        <v>VNB</v>
      </c>
      <c r="B153" s="25" t="str">
        <f>IF(A153="","",[34]Informationen!C$12)</f>
        <v>SachsenNetze HS.HD GmbH</v>
      </c>
      <c r="C153" s="28">
        <v>3</v>
      </c>
      <c r="D153" s="11" t="s">
        <v>0</v>
      </c>
      <c r="E153" s="1" t="s">
        <v>171</v>
      </c>
      <c r="F153" s="5"/>
      <c r="G153" s="5" t="s">
        <v>172</v>
      </c>
    </row>
    <row r="154" spans="1:7" ht="60" x14ac:dyDescent="0.25">
      <c r="A154" s="10" t="str">
        <f>IF(D154="","",IF([34]Informationen!D$13="","Keine Rolle angegeben",[34]Informationen!D$13))</f>
        <v>VNB</v>
      </c>
      <c r="B154" s="25" t="str">
        <f>IF(A154="","",[34]Informationen!C$12)</f>
        <v>SachsenNetze HS.HD GmbH</v>
      </c>
      <c r="C154" s="28">
        <v>4</v>
      </c>
      <c r="D154" s="11" t="s">
        <v>0</v>
      </c>
      <c r="E154" s="1" t="s">
        <v>171</v>
      </c>
      <c r="F154" s="5"/>
      <c r="G154" s="5" t="s">
        <v>173</v>
      </c>
    </row>
    <row r="155" spans="1:7" ht="150" x14ac:dyDescent="0.25">
      <c r="A155" s="10" t="str">
        <f>IF(D155="","",IF([34]Informationen!D$13="","Keine Rolle angegeben",[34]Informationen!D$13))</f>
        <v>VNB</v>
      </c>
      <c r="B155" s="25" t="str">
        <f>IF(A155="","",[34]Informationen!C$12)</f>
        <v>SachsenNetze HS.HD GmbH</v>
      </c>
      <c r="C155" s="28">
        <v>5</v>
      </c>
      <c r="D155" s="11" t="s">
        <v>4</v>
      </c>
      <c r="E155" s="1" t="s">
        <v>37</v>
      </c>
      <c r="F155" s="5"/>
      <c r="G155" s="5" t="s">
        <v>174</v>
      </c>
    </row>
    <row r="156" spans="1:7" ht="345" x14ac:dyDescent="0.25">
      <c r="A156" s="10" t="str">
        <f>IF(D156="","",IF([34]Informationen!D$13="","Keine Rolle angegeben",[34]Informationen!D$13))</f>
        <v>VNB</v>
      </c>
      <c r="B156" s="25" t="str">
        <f>IF(A156="","",[34]Informationen!C$12)</f>
        <v>SachsenNetze HS.HD GmbH</v>
      </c>
      <c r="C156" s="28">
        <v>6</v>
      </c>
      <c r="D156" s="11" t="s">
        <v>4</v>
      </c>
      <c r="E156" s="1" t="s">
        <v>40</v>
      </c>
      <c r="F156" s="5"/>
      <c r="G156" s="5" t="s">
        <v>175</v>
      </c>
    </row>
    <row r="157" spans="1:7" ht="240" x14ac:dyDescent="0.25">
      <c r="A157" s="10" t="str">
        <f>IF(D157="","",IF([34]Informationen!D$13="","Keine Rolle angegeben",[34]Informationen!D$13))</f>
        <v>VNB</v>
      </c>
      <c r="B157" s="25" t="str">
        <f>IF(A157="","",[34]Informationen!C$12)</f>
        <v>SachsenNetze HS.HD GmbH</v>
      </c>
      <c r="C157" s="28">
        <v>7</v>
      </c>
      <c r="D157" s="11" t="s">
        <v>4</v>
      </c>
      <c r="E157" s="1" t="s">
        <v>40</v>
      </c>
      <c r="F157" s="5"/>
      <c r="G157" s="5" t="s">
        <v>176</v>
      </c>
    </row>
    <row r="158" spans="1:7" ht="225" x14ac:dyDescent="0.25">
      <c r="A158" s="10" t="str">
        <f>IF(D158="","",IF([34]Informationen!D$13="","Keine Rolle angegeben",[34]Informationen!D$13))</f>
        <v>VNB</v>
      </c>
      <c r="B158" s="25" t="str">
        <f>IF(A158="","",[34]Informationen!C$12)</f>
        <v>SachsenNetze HS.HD GmbH</v>
      </c>
      <c r="C158" s="28">
        <v>8</v>
      </c>
      <c r="D158" s="11" t="s">
        <v>4</v>
      </c>
      <c r="E158" s="1" t="s">
        <v>177</v>
      </c>
      <c r="F158" s="5"/>
      <c r="G158" s="5" t="s">
        <v>178</v>
      </c>
    </row>
    <row r="159" spans="1:7" ht="255" x14ac:dyDescent="0.25">
      <c r="A159" s="10" t="str">
        <f>IF(D159="","",IF([34]Informationen!D$13="","Keine Rolle angegeben",[34]Informationen!D$13))</f>
        <v>VNB</v>
      </c>
      <c r="B159" s="25" t="str">
        <f>IF(A159="","",[34]Informationen!C$12)</f>
        <v>SachsenNetze HS.HD GmbH</v>
      </c>
      <c r="C159" s="28">
        <v>9</v>
      </c>
      <c r="D159" s="11" t="s">
        <v>4</v>
      </c>
      <c r="E159" s="1" t="s">
        <v>179</v>
      </c>
      <c r="F159" s="5"/>
      <c r="G159" s="5" t="s">
        <v>180</v>
      </c>
    </row>
    <row r="160" spans="1:7" ht="135" x14ac:dyDescent="0.25">
      <c r="A160" s="10" t="str">
        <f>IF(D160="","",IF([34]Informationen!D$13="","Keine Rolle angegeben",[34]Informationen!D$13))</f>
        <v>VNB</v>
      </c>
      <c r="B160" s="25" t="str">
        <f>IF(A160="","",[34]Informationen!C$12)</f>
        <v>SachsenNetze HS.HD GmbH</v>
      </c>
      <c r="C160" s="28">
        <v>10</v>
      </c>
      <c r="D160" s="11" t="s">
        <v>45</v>
      </c>
      <c r="E160" s="1" t="s">
        <v>171</v>
      </c>
      <c r="F160" s="5"/>
      <c r="G160" s="5" t="s">
        <v>181</v>
      </c>
    </row>
    <row r="161" spans="1:7" ht="375" x14ac:dyDescent="0.25">
      <c r="A161" s="4" t="str">
        <f>IF(D161="","",IF([35]Informationen!D$13="","Keine Rolle angegeben",[35]Informationen!D$13))</f>
        <v>VNB</v>
      </c>
      <c r="B161" s="15" t="str">
        <f>IF(A161="","",[35]Informationen!C$12)</f>
        <v>Saerbecker Ver- und Entsorgungsnetzgesellschaft mbH</v>
      </c>
      <c r="C161" s="27">
        <v>1</v>
      </c>
      <c r="D161" s="8" t="s">
        <v>0</v>
      </c>
      <c r="E161" s="6" t="s">
        <v>1</v>
      </c>
      <c r="F161" s="9" t="s">
        <v>2</v>
      </c>
      <c r="G161" s="9" t="s">
        <v>3</v>
      </c>
    </row>
    <row r="162" spans="1:7" ht="150" x14ac:dyDescent="0.25">
      <c r="A162" s="4" t="str">
        <f>IF(D162="","",IF([35]Informationen!D$13="","Keine Rolle angegeben",[35]Informationen!D$13))</f>
        <v>VNB</v>
      </c>
      <c r="B162" s="15" t="str">
        <f>IF(A162="","",[35]Informationen!C$12)</f>
        <v>Saerbecker Ver- und Entsorgungsnetzgesellschaft mbH</v>
      </c>
      <c r="C162" s="27">
        <v>2</v>
      </c>
      <c r="D162" s="8" t="s">
        <v>4</v>
      </c>
      <c r="E162" s="6" t="s">
        <v>5</v>
      </c>
      <c r="F162" s="9" t="s">
        <v>6</v>
      </c>
      <c r="G162" s="9" t="s">
        <v>7</v>
      </c>
    </row>
    <row r="163" spans="1:7" ht="375" x14ac:dyDescent="0.25">
      <c r="A163" s="4" t="str">
        <f>IF(D163="","",IF([36]Informationen!D$13="","Keine Rolle angegeben",[36]Informationen!D$13))</f>
        <v>VNB</v>
      </c>
      <c r="B163" s="15" t="str">
        <f>IF(A163="","",[36]Informationen!C$12)</f>
        <v>Städtische Betriebswerke Luckenwalde GmbH</v>
      </c>
      <c r="C163" s="27">
        <v>1</v>
      </c>
      <c r="D163" s="8" t="s">
        <v>0</v>
      </c>
      <c r="E163" s="6" t="s">
        <v>1</v>
      </c>
      <c r="F163" s="9" t="s">
        <v>2</v>
      </c>
      <c r="G163" s="9" t="s">
        <v>3</v>
      </c>
    </row>
    <row r="164" spans="1:7" ht="150" x14ac:dyDescent="0.25">
      <c r="A164" s="4" t="str">
        <f>IF(D164="","",IF([36]Informationen!D$13="","Keine Rolle angegeben",[36]Informationen!D$13))</f>
        <v>VNB</v>
      </c>
      <c r="B164" s="15" t="str">
        <f>IF(A164="","",[36]Informationen!C$12)</f>
        <v>Städtische Betriebswerke Luckenwalde GmbH</v>
      </c>
      <c r="C164" s="27">
        <v>2</v>
      </c>
      <c r="D164" s="8" t="s">
        <v>4</v>
      </c>
      <c r="E164" s="6" t="s">
        <v>5</v>
      </c>
      <c r="F164" s="9" t="s">
        <v>6</v>
      </c>
      <c r="G164" s="9" t="s">
        <v>7</v>
      </c>
    </row>
    <row r="165" spans="1:7" ht="375" x14ac:dyDescent="0.25">
      <c r="A165" s="10" t="str">
        <f>IF(D165="","",IF([37]Informationen!D$13="","Keine Rolle angegeben",[37]Informationen!D$13))</f>
        <v>VNB</v>
      </c>
      <c r="B165" s="25" t="str">
        <f>IF(A165="","",[37]Informationen!C$12)</f>
        <v>Stadtnetze Münster GmbH</v>
      </c>
      <c r="C165" s="28">
        <v>1</v>
      </c>
      <c r="D165" s="11" t="s">
        <v>0</v>
      </c>
      <c r="E165" s="1" t="s">
        <v>1</v>
      </c>
      <c r="F165" s="5" t="s">
        <v>2</v>
      </c>
      <c r="G165" s="5" t="s">
        <v>110</v>
      </c>
    </row>
    <row r="166" spans="1:7" ht="165" x14ac:dyDescent="0.25">
      <c r="A166" s="10" t="str">
        <f>IF(D166="","",IF([37]Informationen!D$13="","Keine Rolle angegeben",[37]Informationen!D$13))</f>
        <v>VNB</v>
      </c>
      <c r="B166" s="25" t="str">
        <f>IF(A166="","",[37]Informationen!C$12)</f>
        <v>Stadtnetze Münster GmbH</v>
      </c>
      <c r="C166" s="28">
        <v>2</v>
      </c>
      <c r="D166" s="11" t="s">
        <v>4</v>
      </c>
      <c r="E166" s="1" t="s">
        <v>5</v>
      </c>
      <c r="F166" s="5" t="s">
        <v>6</v>
      </c>
      <c r="G166" s="5" t="s">
        <v>111</v>
      </c>
    </row>
    <row r="167" spans="1:7" ht="90" x14ac:dyDescent="0.25">
      <c r="A167" s="10" t="str">
        <f>IF(D167="","",IF([37]Informationen!D$13="","Keine Rolle angegeben",[37]Informationen!D$13))</f>
        <v>VNB</v>
      </c>
      <c r="B167" s="25" t="str">
        <f>IF(A167="","",[37]Informationen!C$12)</f>
        <v>Stadtnetze Münster GmbH</v>
      </c>
      <c r="C167" s="28">
        <v>3</v>
      </c>
      <c r="D167" s="11" t="s">
        <v>4</v>
      </c>
      <c r="E167" s="1" t="s">
        <v>112</v>
      </c>
      <c r="F167" s="5" t="s">
        <v>113</v>
      </c>
      <c r="G167" s="5" t="s">
        <v>114</v>
      </c>
    </row>
    <row r="168" spans="1:7" x14ac:dyDescent="0.25">
      <c r="A168" s="10" t="str">
        <f>IF(D168="","",IF([37]Informationen!D$13="","Keine Rolle angegeben",[37]Informationen!D$13))</f>
        <v>VNB</v>
      </c>
      <c r="B168" s="25" t="str">
        <f>IF(A168="","",[37]Informationen!C$12)</f>
        <v>Stadtnetze Münster GmbH</v>
      </c>
      <c r="C168" s="28">
        <v>4</v>
      </c>
      <c r="D168" s="11" t="s">
        <v>4</v>
      </c>
      <c r="E168" s="1"/>
      <c r="F168" s="5"/>
      <c r="G168" s="5"/>
    </row>
    <row r="169" spans="1:7" ht="409.5" x14ac:dyDescent="0.25">
      <c r="A169" s="4" t="str">
        <f>IF(D169="","",IF([38]Informationen!D$13="","Keine Rolle angegeben",[38]Informationen!D$13))</f>
        <v>VNB</v>
      </c>
      <c r="B169" s="15" t="str">
        <f>IF(A169="","",[38]Informationen!C$12)</f>
        <v>Stadtwerke Achim AG</v>
      </c>
      <c r="C169" s="27">
        <v>1</v>
      </c>
      <c r="D169" s="8" t="s">
        <v>0</v>
      </c>
      <c r="E169" s="6" t="s">
        <v>211</v>
      </c>
      <c r="F169" s="9" t="s">
        <v>212</v>
      </c>
      <c r="G169" s="9" t="s">
        <v>213</v>
      </c>
    </row>
    <row r="170" spans="1:7" ht="405" x14ac:dyDescent="0.25">
      <c r="A170" s="4" t="str">
        <f>IF(D170="","",IF([38]Informationen!D$13="","Keine Rolle angegeben",[38]Informationen!D$13))</f>
        <v>VNB</v>
      </c>
      <c r="B170" s="15" t="str">
        <f>IF(A170="","",[38]Informationen!C$12)</f>
        <v>Stadtwerke Achim AG</v>
      </c>
      <c r="C170" s="27">
        <v>2</v>
      </c>
      <c r="D170" s="8" t="s">
        <v>4</v>
      </c>
      <c r="E170" s="6" t="s">
        <v>214</v>
      </c>
      <c r="F170" s="9" t="s">
        <v>215</v>
      </c>
      <c r="G170" s="9" t="s">
        <v>216</v>
      </c>
    </row>
    <row r="171" spans="1:7" ht="375" x14ac:dyDescent="0.25">
      <c r="A171" s="4" t="str">
        <f>IF(D171="","",IF([39]Informationen!D$13="","Keine Rolle angegeben",[39]Informationen!D$13))</f>
        <v>VNB</v>
      </c>
      <c r="B171" s="15" t="str">
        <f>IF(A171="","",[39]Informationen!C$12)</f>
        <v>Stadtwerke Amberg Versorgungs GmbH</v>
      </c>
      <c r="C171" s="27">
        <v>1</v>
      </c>
      <c r="D171" s="8" t="s">
        <v>0</v>
      </c>
      <c r="E171" s="6" t="s">
        <v>1</v>
      </c>
      <c r="F171" s="9" t="s">
        <v>2</v>
      </c>
      <c r="G171" s="9" t="s">
        <v>3</v>
      </c>
    </row>
    <row r="172" spans="1:7" ht="150" x14ac:dyDescent="0.25">
      <c r="A172" s="4" t="str">
        <f>IF(D172="","",IF([39]Informationen!D$13="","Keine Rolle angegeben",[39]Informationen!D$13))</f>
        <v>VNB</v>
      </c>
      <c r="B172" s="15" t="str">
        <f>IF(A172="","",[39]Informationen!C$12)</f>
        <v>Stadtwerke Amberg Versorgungs GmbH</v>
      </c>
      <c r="C172" s="27">
        <v>2</v>
      </c>
      <c r="D172" s="8" t="s">
        <v>4</v>
      </c>
      <c r="E172" s="6" t="s">
        <v>5</v>
      </c>
      <c r="F172" s="9" t="s">
        <v>6</v>
      </c>
      <c r="G172" s="9" t="s">
        <v>7</v>
      </c>
    </row>
    <row r="173" spans="1:7" x14ac:dyDescent="0.25">
      <c r="A173" s="4" t="str">
        <f>IF(D173="","",IF([40]Informationen!D$13="","Keine Rolle angegeben",[40]Informationen!D$13))</f>
        <v>VNB</v>
      </c>
      <c r="B173" s="15" t="str">
        <f>IF(A173="","",[40]Informationen!C$12)</f>
        <v>Stadtwerke Ansbach GmbH</v>
      </c>
      <c r="C173" s="27">
        <v>1</v>
      </c>
      <c r="D173" s="8" t="s">
        <v>10</v>
      </c>
      <c r="E173" s="6" t="s">
        <v>251</v>
      </c>
      <c r="F173" s="9" t="s">
        <v>252</v>
      </c>
      <c r="G173" s="9"/>
    </row>
    <row r="174" spans="1:7" ht="375" x14ac:dyDescent="0.25">
      <c r="A174" s="4" t="str">
        <f>IF(D174="","",IF([41]Informationen!D$13="","Keine Rolle angegeben",[41]Informationen!D$13))</f>
        <v>VNB</v>
      </c>
      <c r="B174" s="15" t="str">
        <f>IF(A174="","",[41]Informationen!C$12)</f>
        <v>Stadtwerke Bad Salzuflen GmbH</v>
      </c>
      <c r="C174" s="27">
        <v>1</v>
      </c>
      <c r="D174" s="8" t="s">
        <v>0</v>
      </c>
      <c r="E174" s="6" t="s">
        <v>1</v>
      </c>
      <c r="F174" s="9" t="s">
        <v>2</v>
      </c>
      <c r="G174" s="9" t="s">
        <v>3</v>
      </c>
    </row>
    <row r="175" spans="1:7" ht="150" x14ac:dyDescent="0.25">
      <c r="A175" s="4" t="str">
        <f>IF(D175="","",IF([41]Informationen!D$13="","Keine Rolle angegeben",[41]Informationen!D$13))</f>
        <v>VNB</v>
      </c>
      <c r="B175" s="15" t="str">
        <f>IF(A175="","",[41]Informationen!C$12)</f>
        <v>Stadtwerke Bad Salzuflen GmbH</v>
      </c>
      <c r="C175" s="27">
        <v>2</v>
      </c>
      <c r="D175" s="8" t="s">
        <v>4</v>
      </c>
      <c r="E175" s="6" t="s">
        <v>5</v>
      </c>
      <c r="F175" s="9" t="s">
        <v>6</v>
      </c>
      <c r="G175" s="9" t="s">
        <v>7</v>
      </c>
    </row>
    <row r="176" spans="1:7" ht="375" x14ac:dyDescent="0.25">
      <c r="A176" s="4" t="str">
        <f>IF(D176="","",IF([42]Informationen!D$13="","Keine Rolle angegeben",[42]Informationen!D$13))</f>
        <v>VNB</v>
      </c>
      <c r="B176" s="15" t="str">
        <f>IF(A176="","",[42]Informationen!C$12)</f>
        <v xml:space="preserve">Stadtwerke Bad Saulgau </v>
      </c>
      <c r="C176" s="27">
        <v>1</v>
      </c>
      <c r="D176" s="8" t="s">
        <v>0</v>
      </c>
      <c r="E176" s="6" t="s">
        <v>1</v>
      </c>
      <c r="F176" s="9" t="s">
        <v>2</v>
      </c>
      <c r="G176" s="9" t="s">
        <v>3</v>
      </c>
    </row>
    <row r="177" spans="1:7" ht="150" x14ac:dyDescent="0.25">
      <c r="A177" s="4" t="str">
        <f>IF(D177="","",IF([42]Informationen!D$13="","Keine Rolle angegeben",[42]Informationen!D$13))</f>
        <v>VNB</v>
      </c>
      <c r="B177" s="15" t="str">
        <f>IF(A177="","",[42]Informationen!C$12)</f>
        <v xml:space="preserve">Stadtwerke Bad Saulgau </v>
      </c>
      <c r="C177" s="27">
        <v>2</v>
      </c>
      <c r="D177" s="8" t="s">
        <v>4</v>
      </c>
      <c r="E177" s="6" t="s">
        <v>5</v>
      </c>
      <c r="F177" s="9" t="s">
        <v>6</v>
      </c>
      <c r="G177" s="9" t="s">
        <v>7</v>
      </c>
    </row>
    <row r="178" spans="1:7" ht="105" x14ac:dyDescent="0.25">
      <c r="A178" s="10" t="str">
        <f>IF(D178="","",IF([43]Informationen!D$13="","Keine Rolle angegeben",[43]Informationen!D$13))</f>
        <v>VNB</v>
      </c>
      <c r="B178" s="25" t="str">
        <f>IF(A178="","",[43]Informationen!C$12)</f>
        <v>Stadtwerke Bayreuth Energie und Wasser GmbH</v>
      </c>
      <c r="C178" s="28">
        <v>1</v>
      </c>
      <c r="D178" s="11" t="s">
        <v>0</v>
      </c>
      <c r="E178" s="1" t="s">
        <v>253</v>
      </c>
      <c r="F178" s="19" t="s">
        <v>254</v>
      </c>
      <c r="G178" s="5" t="s">
        <v>255</v>
      </c>
    </row>
    <row r="179" spans="1:7" ht="375" x14ac:dyDescent="0.25">
      <c r="A179" s="4" t="str">
        <f>IF(D179="","",IF([44]Informationen!D$13="","Keine Rolle angegeben",[44]Informationen!D$13))</f>
        <v>VNB</v>
      </c>
      <c r="B179" s="15" t="str">
        <f>IF(A179="","",[44]Informationen!C$12)</f>
        <v>Stadtwerke Bietigheim-Bissingen GmbH</v>
      </c>
      <c r="C179" s="27">
        <v>1</v>
      </c>
      <c r="D179" s="8" t="s">
        <v>0</v>
      </c>
      <c r="E179" s="6" t="s">
        <v>1</v>
      </c>
      <c r="F179" s="9" t="s">
        <v>2</v>
      </c>
      <c r="G179" s="9" t="s">
        <v>3</v>
      </c>
    </row>
    <row r="180" spans="1:7" ht="150" x14ac:dyDescent="0.25">
      <c r="A180" s="4" t="str">
        <f>IF(D180="","",IF([44]Informationen!D$13="","Keine Rolle angegeben",[44]Informationen!D$13))</f>
        <v>VNB</v>
      </c>
      <c r="B180" s="15" t="str">
        <f>IF(A180="","",[44]Informationen!C$12)</f>
        <v>Stadtwerke Bietigheim-Bissingen GmbH</v>
      </c>
      <c r="C180" s="27">
        <v>2</v>
      </c>
      <c r="D180" s="8" t="s">
        <v>4</v>
      </c>
      <c r="E180" s="6" t="s">
        <v>5</v>
      </c>
      <c r="F180" s="9" t="s">
        <v>6</v>
      </c>
      <c r="G180" s="9" t="s">
        <v>7</v>
      </c>
    </row>
    <row r="181" spans="1:7" ht="375" x14ac:dyDescent="0.25">
      <c r="A181" s="4" t="str">
        <f>IF(D181="","",IF([45]Informationen!D$13="","Keine Rolle angegeben",[45]Informationen!D$13))</f>
        <v>MSB</v>
      </c>
      <c r="B181" s="15" t="str">
        <f>IF(A181="","",[45]Informationen!C$12)</f>
        <v>Stadtwerke Buxtehude GmbH</v>
      </c>
      <c r="C181" s="27">
        <v>1</v>
      </c>
      <c r="D181" s="8" t="s">
        <v>0</v>
      </c>
      <c r="E181" s="6" t="s">
        <v>1</v>
      </c>
      <c r="F181" s="9" t="s">
        <v>2</v>
      </c>
      <c r="G181" s="9" t="s">
        <v>3</v>
      </c>
    </row>
    <row r="182" spans="1:7" ht="150" x14ac:dyDescent="0.25">
      <c r="A182" s="7" t="str">
        <f>IF(D182="","",IF([45]Informationen!D$13="","Keine Rolle angegeben",[45]Informationen!D$13))</f>
        <v>MSB</v>
      </c>
      <c r="B182" s="26" t="str">
        <f>IF(A182="","",[45]Informationen!C$12)</f>
        <v>Stadtwerke Buxtehude GmbH</v>
      </c>
      <c r="C182" s="29">
        <v>2</v>
      </c>
      <c r="D182" s="20" t="s">
        <v>4</v>
      </c>
      <c r="E182" s="21" t="s">
        <v>5</v>
      </c>
      <c r="F182" s="21" t="s">
        <v>6</v>
      </c>
      <c r="G182" s="22" t="s">
        <v>7</v>
      </c>
    </row>
    <row r="183" spans="1:7" ht="375" x14ac:dyDescent="0.25">
      <c r="A183" s="7" t="str">
        <f>IF(D183="","",IF([46]Informationen!D$13="","Keine Rolle angegeben",[46]Informationen!D$13))</f>
        <v>VNB</v>
      </c>
      <c r="B183" s="26" t="str">
        <f>IF(A183="","",[46]Informationen!C$12)</f>
        <v>Stadtwerke Detmold GmbH</v>
      </c>
      <c r="C183" s="29">
        <v>1</v>
      </c>
      <c r="D183" s="20" t="s">
        <v>0</v>
      </c>
      <c r="E183" s="21" t="s">
        <v>1</v>
      </c>
      <c r="F183" s="22" t="s">
        <v>2</v>
      </c>
      <c r="G183" s="22" t="s">
        <v>3</v>
      </c>
    </row>
    <row r="184" spans="1:7" ht="150" x14ac:dyDescent="0.25">
      <c r="A184" s="4" t="str">
        <f>IF(D184="","",IF([46]Informationen!D$13="","Keine Rolle angegeben",[46]Informationen!D$13))</f>
        <v>VNB</v>
      </c>
      <c r="B184" s="15" t="str">
        <f>IF(A184="","",[46]Informationen!C$12)</f>
        <v>Stadtwerke Detmold GmbH</v>
      </c>
      <c r="C184" s="27">
        <v>2</v>
      </c>
      <c r="D184" s="8" t="s">
        <v>4</v>
      </c>
      <c r="E184" s="6" t="s">
        <v>5</v>
      </c>
      <c r="F184" s="9" t="s">
        <v>6</v>
      </c>
      <c r="G184" s="9" t="s">
        <v>7</v>
      </c>
    </row>
    <row r="185" spans="1:7" ht="135" x14ac:dyDescent="0.25">
      <c r="A185" s="10" t="str">
        <f>IF(D185="","",IF([47]Informationen!D$13="","Keine Rolle angegeben",[47]Informationen!D$13))</f>
        <v>VNB</v>
      </c>
      <c r="B185" s="25" t="str">
        <f>IF(A185="","",[47]Informationen!C$12)</f>
        <v>Stadtwerke Elbtal GmbH</v>
      </c>
      <c r="C185" s="28">
        <v>1</v>
      </c>
      <c r="D185" s="11" t="s">
        <v>0</v>
      </c>
      <c r="E185" s="1" t="s">
        <v>49</v>
      </c>
      <c r="F185" s="5" t="s">
        <v>167</v>
      </c>
      <c r="G185" s="5" t="s">
        <v>168</v>
      </c>
    </row>
    <row r="186" spans="1:7" ht="105" x14ac:dyDescent="0.25">
      <c r="A186" s="10" t="str">
        <f>IF(D186="","",IF([47]Informationen!D$13="","Keine Rolle angegeben",[47]Informationen!D$13))</f>
        <v>VNB</v>
      </c>
      <c r="B186" s="25" t="str">
        <f>IF(A186="","",[47]Informationen!C$12)</f>
        <v>Stadtwerke Elbtal GmbH</v>
      </c>
      <c r="C186" s="28">
        <v>2</v>
      </c>
      <c r="D186" s="11" t="s">
        <v>0</v>
      </c>
      <c r="E186" s="1" t="s">
        <v>138</v>
      </c>
      <c r="F186" s="5" t="s">
        <v>169</v>
      </c>
      <c r="G186" s="5" t="s">
        <v>170</v>
      </c>
    </row>
    <row r="187" spans="1:7" ht="150" x14ac:dyDescent="0.25">
      <c r="A187" s="10" t="str">
        <f>IF(D187="","",IF([47]Informationen!D$13="","Keine Rolle angegeben",[47]Informationen!D$13))</f>
        <v>VNB</v>
      </c>
      <c r="B187" s="25" t="str">
        <f>IF(A187="","",[47]Informationen!C$12)</f>
        <v>Stadtwerke Elbtal GmbH</v>
      </c>
      <c r="C187" s="28">
        <v>3</v>
      </c>
      <c r="D187" s="11" t="s">
        <v>0</v>
      </c>
      <c r="E187" s="1" t="s">
        <v>171</v>
      </c>
      <c r="F187" s="5"/>
      <c r="G187" s="5" t="s">
        <v>172</v>
      </c>
    </row>
    <row r="188" spans="1:7" ht="60" x14ac:dyDescent="0.25">
      <c r="A188" s="10" t="str">
        <f>IF(D188="","",IF([47]Informationen!D$13="","Keine Rolle angegeben",[47]Informationen!D$13))</f>
        <v>VNB</v>
      </c>
      <c r="B188" s="25" t="str">
        <f>IF(A188="","",[47]Informationen!C$12)</f>
        <v>Stadtwerke Elbtal GmbH</v>
      </c>
      <c r="C188" s="28">
        <v>4</v>
      </c>
      <c r="D188" s="11" t="s">
        <v>0</v>
      </c>
      <c r="E188" s="1" t="s">
        <v>171</v>
      </c>
      <c r="F188" s="5"/>
      <c r="G188" s="5" t="s">
        <v>173</v>
      </c>
    </row>
    <row r="189" spans="1:7" ht="150" x14ac:dyDescent="0.25">
      <c r="A189" s="10" t="str">
        <f>IF(D189="","",IF([47]Informationen!D$13="","Keine Rolle angegeben",[47]Informationen!D$13))</f>
        <v>VNB</v>
      </c>
      <c r="B189" s="25" t="str">
        <f>IF(A189="","",[47]Informationen!C$12)</f>
        <v>Stadtwerke Elbtal GmbH</v>
      </c>
      <c r="C189" s="28">
        <v>5</v>
      </c>
      <c r="D189" s="11" t="s">
        <v>4</v>
      </c>
      <c r="E189" s="1" t="s">
        <v>37</v>
      </c>
      <c r="F189" s="5"/>
      <c r="G189" s="5" t="s">
        <v>174</v>
      </c>
    </row>
    <row r="190" spans="1:7" ht="345" x14ac:dyDescent="0.25">
      <c r="A190" s="10" t="str">
        <f>IF(D190="","",IF([47]Informationen!D$13="","Keine Rolle angegeben",[47]Informationen!D$13))</f>
        <v>VNB</v>
      </c>
      <c r="B190" s="25" t="str">
        <f>IF(A190="","",[47]Informationen!C$12)</f>
        <v>Stadtwerke Elbtal GmbH</v>
      </c>
      <c r="C190" s="28">
        <v>6</v>
      </c>
      <c r="D190" s="11" t="s">
        <v>4</v>
      </c>
      <c r="E190" s="1" t="s">
        <v>40</v>
      </c>
      <c r="F190" s="5"/>
      <c r="G190" s="5" t="s">
        <v>175</v>
      </c>
    </row>
    <row r="191" spans="1:7" ht="240" x14ac:dyDescent="0.25">
      <c r="A191" s="10" t="str">
        <f>IF(D191="","",IF([47]Informationen!D$13="","Keine Rolle angegeben",[47]Informationen!D$13))</f>
        <v>VNB</v>
      </c>
      <c r="B191" s="25" t="str">
        <f>IF(A191="","",[47]Informationen!C$12)</f>
        <v>Stadtwerke Elbtal GmbH</v>
      </c>
      <c r="C191" s="28">
        <v>7</v>
      </c>
      <c r="D191" s="11" t="s">
        <v>4</v>
      </c>
      <c r="E191" s="1" t="s">
        <v>40</v>
      </c>
      <c r="F191" s="5"/>
      <c r="G191" s="5" t="s">
        <v>176</v>
      </c>
    </row>
    <row r="192" spans="1:7" ht="225" x14ac:dyDescent="0.25">
      <c r="A192" s="10" t="str">
        <f>IF(D192="","",IF([47]Informationen!D$13="","Keine Rolle angegeben",[47]Informationen!D$13))</f>
        <v>VNB</v>
      </c>
      <c r="B192" s="25" t="str">
        <f>IF(A192="","",[47]Informationen!C$12)</f>
        <v>Stadtwerke Elbtal GmbH</v>
      </c>
      <c r="C192" s="28">
        <v>8</v>
      </c>
      <c r="D192" s="11" t="s">
        <v>4</v>
      </c>
      <c r="E192" s="1" t="s">
        <v>177</v>
      </c>
      <c r="F192" s="5"/>
      <c r="G192" s="5" t="s">
        <v>178</v>
      </c>
    </row>
    <row r="193" spans="1:7" ht="255" x14ac:dyDescent="0.25">
      <c r="A193" s="10" t="str">
        <f>IF(D193="","",IF([47]Informationen!D$13="","Keine Rolle angegeben",[47]Informationen!D$13))</f>
        <v>VNB</v>
      </c>
      <c r="B193" s="25" t="str">
        <f>IF(A193="","",[47]Informationen!C$12)</f>
        <v>Stadtwerke Elbtal GmbH</v>
      </c>
      <c r="C193" s="28">
        <v>9</v>
      </c>
      <c r="D193" s="11" t="s">
        <v>4</v>
      </c>
      <c r="E193" s="1" t="s">
        <v>179</v>
      </c>
      <c r="F193" s="5"/>
      <c r="G193" s="5" t="s">
        <v>180</v>
      </c>
    </row>
    <row r="194" spans="1:7" ht="135" x14ac:dyDescent="0.25">
      <c r="A194" s="10" t="str">
        <f>IF(D194="","",IF([47]Informationen!D$13="","Keine Rolle angegeben",[47]Informationen!D$13))</f>
        <v>VNB</v>
      </c>
      <c r="B194" s="25" t="str">
        <f>IF(A194="","",[47]Informationen!C$12)</f>
        <v>Stadtwerke Elbtal GmbH</v>
      </c>
      <c r="C194" s="28">
        <v>10</v>
      </c>
      <c r="D194" s="11" t="s">
        <v>45</v>
      </c>
      <c r="E194" s="1" t="s">
        <v>171</v>
      </c>
      <c r="F194" s="5"/>
      <c r="G194" s="5" t="s">
        <v>181</v>
      </c>
    </row>
    <row r="195" spans="1:7" ht="409.5" x14ac:dyDescent="0.25">
      <c r="A195" s="4" t="str">
        <f>IF(D195="","",IF([48]Informationen!D$13="","Keine Rolle angegeben",[48]Informationen!D$13))</f>
        <v>VNB</v>
      </c>
      <c r="B195" s="15" t="str">
        <f>IF(A195="","",[48]Informationen!C$12)</f>
        <v>Stadtwerke Flensburg GmbH</v>
      </c>
      <c r="C195" s="27">
        <v>1</v>
      </c>
      <c r="D195" s="8" t="s">
        <v>0</v>
      </c>
      <c r="E195" s="6" t="s">
        <v>1</v>
      </c>
      <c r="F195" s="9" t="s">
        <v>243</v>
      </c>
      <c r="G195" s="9" t="s">
        <v>244</v>
      </c>
    </row>
    <row r="196" spans="1:7" ht="150" x14ac:dyDescent="0.25">
      <c r="A196" s="4" t="str">
        <f>IF(D196="","",IF([48]Informationen!D$13="","Keine Rolle angegeben",[48]Informationen!D$13))</f>
        <v>VNB</v>
      </c>
      <c r="B196" s="15" t="str">
        <f>IF(A196="","",[48]Informationen!C$12)</f>
        <v>Stadtwerke Flensburg GmbH</v>
      </c>
      <c r="C196" s="27">
        <v>2</v>
      </c>
      <c r="D196" s="8" t="s">
        <v>4</v>
      </c>
      <c r="E196" s="6" t="s">
        <v>5</v>
      </c>
      <c r="F196" s="9" t="s">
        <v>6</v>
      </c>
      <c r="G196" s="9" t="s">
        <v>7</v>
      </c>
    </row>
    <row r="197" spans="1:7" ht="375" x14ac:dyDescent="0.25">
      <c r="A197" s="10" t="str">
        <f>IF(D197="","",IF([49]Informationen!D$13="","Keine Rolle angegeben",[49]Informationen!D$13))</f>
        <v>VNB</v>
      </c>
      <c r="B197" s="25" t="str">
        <f>IF(A197="","",[49]Informationen!C$12)</f>
        <v>Stadtwerke Fürstenfeldbruck GmbH</v>
      </c>
      <c r="C197" s="28">
        <v>1</v>
      </c>
      <c r="D197" s="8" t="s">
        <v>0</v>
      </c>
      <c r="E197" s="6" t="s">
        <v>1</v>
      </c>
      <c r="F197" s="9" t="s">
        <v>2</v>
      </c>
      <c r="G197" s="9" t="s">
        <v>3</v>
      </c>
    </row>
    <row r="198" spans="1:7" ht="150" x14ac:dyDescent="0.25">
      <c r="A198" s="10" t="str">
        <f>IF(D198="","",IF([49]Informationen!D$13="","Keine Rolle angegeben",[49]Informationen!D$13))</f>
        <v>VNB</v>
      </c>
      <c r="B198" s="25" t="str">
        <f>IF(A198="","",[49]Informationen!C$12)</f>
        <v>Stadtwerke Fürstenfeldbruck GmbH</v>
      </c>
      <c r="C198" s="28">
        <v>2</v>
      </c>
      <c r="D198" s="8" t="s">
        <v>4</v>
      </c>
      <c r="E198" s="6" t="s">
        <v>5</v>
      </c>
      <c r="F198" s="9" t="s">
        <v>6</v>
      </c>
      <c r="G198" s="9" t="s">
        <v>7</v>
      </c>
    </row>
    <row r="199" spans="1:7" ht="75" x14ac:dyDescent="0.25">
      <c r="A199" s="4" t="str">
        <f>IF(D199="","",IF([50]Informationen!D$13="","Keine Rolle angegeben",[50]Informationen!D$13))</f>
        <v>VNB</v>
      </c>
      <c r="B199" s="15" t="str">
        <f>IF(A199="","",[50]Informationen!C$12)</f>
        <v>Stadtwerke Germersheim GmbH</v>
      </c>
      <c r="C199" s="27">
        <v>1</v>
      </c>
      <c r="D199" s="8" t="s">
        <v>0</v>
      </c>
      <c r="E199" s="6" t="s">
        <v>68</v>
      </c>
      <c r="F199" s="9"/>
      <c r="G199" s="9"/>
    </row>
    <row r="200" spans="1:7" ht="75" x14ac:dyDescent="0.25">
      <c r="A200" s="4" t="str">
        <f>IF(D200="","",IF([50]Informationen!D$13="","Keine Rolle angegeben",[50]Informationen!D$13))</f>
        <v>VNB</v>
      </c>
      <c r="B200" s="15" t="str">
        <f>IF(A200="","",[50]Informationen!C$12)</f>
        <v>Stadtwerke Germersheim GmbH</v>
      </c>
      <c r="C200" s="27">
        <v>2</v>
      </c>
      <c r="D200" s="8" t="s">
        <v>0</v>
      </c>
      <c r="E200" s="6" t="s">
        <v>22</v>
      </c>
      <c r="F200" s="9" t="s">
        <v>23</v>
      </c>
      <c r="G200" s="9" t="s">
        <v>24</v>
      </c>
    </row>
    <row r="201" spans="1:7" ht="375" x14ac:dyDescent="0.25">
      <c r="A201" s="4" t="str">
        <f>IF(D201="","",IF([50]Informationen!D$13="","Keine Rolle angegeben",[50]Informationen!D$13))</f>
        <v>VNB</v>
      </c>
      <c r="B201" s="15" t="str">
        <f>IF(A201="","",[50]Informationen!C$12)</f>
        <v>Stadtwerke Germersheim GmbH</v>
      </c>
      <c r="C201" s="27">
        <v>3</v>
      </c>
      <c r="D201" s="8" t="s">
        <v>0</v>
      </c>
      <c r="E201" s="6" t="s">
        <v>70</v>
      </c>
      <c r="F201" s="9" t="s">
        <v>2</v>
      </c>
      <c r="G201" s="9" t="s">
        <v>3</v>
      </c>
    </row>
    <row r="202" spans="1:7" ht="330" x14ac:dyDescent="0.25">
      <c r="A202" s="4" t="str">
        <f>IF(D202="","",IF([50]Informationen!D$13="","Keine Rolle angegeben",[50]Informationen!D$13))</f>
        <v>VNB</v>
      </c>
      <c r="B202" s="15" t="str">
        <f>IF(A202="","",[50]Informationen!C$12)</f>
        <v>Stadtwerke Germersheim GmbH</v>
      </c>
      <c r="C202" s="27">
        <v>4</v>
      </c>
      <c r="D202" s="8" t="s">
        <v>0</v>
      </c>
      <c r="E202" s="6" t="s">
        <v>25</v>
      </c>
      <c r="F202" s="9" t="s">
        <v>26</v>
      </c>
      <c r="G202" s="9" t="s">
        <v>27</v>
      </c>
    </row>
    <row r="203" spans="1:7" ht="120" x14ac:dyDescent="0.25">
      <c r="A203" s="4" t="str">
        <f>IF(D203="","",IF([50]Informationen!D$13="","Keine Rolle angegeben",[50]Informationen!D$13))</f>
        <v>VNB</v>
      </c>
      <c r="B203" s="15" t="str">
        <f>IF(A203="","",[50]Informationen!C$12)</f>
        <v>Stadtwerke Germersheim GmbH</v>
      </c>
      <c r="C203" s="27">
        <v>5</v>
      </c>
      <c r="D203" s="8" t="s">
        <v>0</v>
      </c>
      <c r="E203" s="6" t="s">
        <v>28</v>
      </c>
      <c r="F203" s="9" t="s">
        <v>29</v>
      </c>
      <c r="G203" s="9" t="s">
        <v>30</v>
      </c>
    </row>
    <row r="204" spans="1:7" ht="60" x14ac:dyDescent="0.25">
      <c r="A204" s="4" t="str">
        <f>IF(D204="","",IF([50]Informationen!D$13="","Keine Rolle angegeben",[50]Informationen!D$13))</f>
        <v>VNB</v>
      </c>
      <c r="B204" s="15" t="str">
        <f>IF(A204="","",[50]Informationen!C$12)</f>
        <v>Stadtwerke Germersheim GmbH</v>
      </c>
      <c r="C204" s="27">
        <v>6</v>
      </c>
      <c r="D204" s="8" t="s">
        <v>31</v>
      </c>
      <c r="E204" s="6" t="s">
        <v>102</v>
      </c>
      <c r="F204" s="9"/>
      <c r="G204" s="9"/>
    </row>
    <row r="205" spans="1:7" ht="105" x14ac:dyDescent="0.25">
      <c r="A205" s="4" t="str">
        <f>IF(D205="","",IF([50]Informationen!D$13="","Keine Rolle angegeben",[50]Informationen!D$13))</f>
        <v>VNB</v>
      </c>
      <c r="B205" s="15" t="str">
        <f>IF(A205="","",[50]Informationen!C$12)</f>
        <v>Stadtwerke Germersheim GmbH</v>
      </c>
      <c r="C205" s="27">
        <v>7</v>
      </c>
      <c r="D205" s="8" t="s">
        <v>31</v>
      </c>
      <c r="E205" s="6" t="s">
        <v>74</v>
      </c>
      <c r="F205" s="9"/>
      <c r="G205" s="9"/>
    </row>
    <row r="206" spans="1:7" ht="90" x14ac:dyDescent="0.25">
      <c r="A206" s="4" t="str">
        <f>IF(D206="","",IF([50]Informationen!D$13="","Keine Rolle angegeben",[50]Informationen!D$13))</f>
        <v>VNB</v>
      </c>
      <c r="B206" s="15" t="str">
        <f>IF(A206="","",[50]Informationen!C$12)</f>
        <v>Stadtwerke Germersheim GmbH</v>
      </c>
      <c r="C206" s="27">
        <v>8</v>
      </c>
      <c r="D206" s="8" t="s">
        <v>31</v>
      </c>
      <c r="E206" s="6" t="s">
        <v>32</v>
      </c>
      <c r="F206" s="9"/>
      <c r="G206" s="9" t="s">
        <v>103</v>
      </c>
    </row>
    <row r="207" spans="1:7" ht="105" x14ac:dyDescent="0.25">
      <c r="A207" s="4" t="str">
        <f>IF(D207="","",IF([50]Informationen!D$13="","Keine Rolle angegeben",[50]Informationen!D$13))</f>
        <v>VNB</v>
      </c>
      <c r="B207" s="15" t="str">
        <f>IF(A207="","",[50]Informationen!C$12)</f>
        <v>Stadtwerke Germersheim GmbH</v>
      </c>
      <c r="C207" s="27">
        <v>9</v>
      </c>
      <c r="D207" s="8" t="s">
        <v>4</v>
      </c>
      <c r="E207" s="6" t="s">
        <v>77</v>
      </c>
      <c r="F207" s="9"/>
      <c r="G207" s="9"/>
    </row>
    <row r="208" spans="1:7" ht="150" x14ac:dyDescent="0.25">
      <c r="A208" s="4" t="str">
        <f>IF(D208="","",IF([50]Informationen!D$13="","Keine Rolle angegeben",[50]Informationen!D$13))</f>
        <v>VNB</v>
      </c>
      <c r="B208" s="15" t="str">
        <f>IF(A208="","",[50]Informationen!C$12)</f>
        <v>Stadtwerke Germersheim GmbH</v>
      </c>
      <c r="C208" s="27">
        <v>10</v>
      </c>
      <c r="D208" s="8" t="s">
        <v>4</v>
      </c>
      <c r="E208" s="6" t="s">
        <v>34</v>
      </c>
      <c r="F208" s="9" t="s">
        <v>35</v>
      </c>
      <c r="G208" s="9" t="s">
        <v>36</v>
      </c>
    </row>
    <row r="209" spans="1:7" ht="135" x14ac:dyDescent="0.25">
      <c r="A209" s="4" t="str">
        <f>IF(D209="","",IF([50]Informationen!D$13="","Keine Rolle angegeben",[50]Informationen!D$13))</f>
        <v>VNB</v>
      </c>
      <c r="B209" s="15" t="str">
        <f>IF(A209="","",[50]Informationen!C$12)</f>
        <v>Stadtwerke Germersheim GmbH</v>
      </c>
      <c r="C209" s="27">
        <v>11</v>
      </c>
      <c r="D209" s="8" t="s">
        <v>4</v>
      </c>
      <c r="E209" s="6" t="s">
        <v>37</v>
      </c>
      <c r="F209" s="9" t="s">
        <v>38</v>
      </c>
      <c r="G209" s="9" t="s">
        <v>39</v>
      </c>
    </row>
    <row r="210" spans="1:7" ht="45" x14ac:dyDescent="0.25">
      <c r="A210" s="4" t="str">
        <f>IF(D210="","",IF([50]Informationen!D$13="","Keine Rolle angegeben",[50]Informationen!D$13))</f>
        <v>VNB</v>
      </c>
      <c r="B210" s="15" t="str">
        <f>IF(A210="","",[50]Informationen!C$12)</f>
        <v>Stadtwerke Germersheim GmbH</v>
      </c>
      <c r="C210" s="27">
        <v>12</v>
      </c>
      <c r="D210" s="8" t="s">
        <v>4</v>
      </c>
      <c r="E210" s="6" t="s">
        <v>40</v>
      </c>
      <c r="F210" s="9"/>
      <c r="G210" s="9" t="s">
        <v>104</v>
      </c>
    </row>
    <row r="211" spans="1:7" ht="60" x14ac:dyDescent="0.25">
      <c r="A211" s="4" t="str">
        <f>IF(D211="","",IF([50]Informationen!D$13="","Keine Rolle angegeben",[50]Informationen!D$13))</f>
        <v>VNB</v>
      </c>
      <c r="B211" s="15" t="str">
        <f>IF(A211="","",[50]Informationen!C$12)</f>
        <v>Stadtwerke Germersheim GmbH</v>
      </c>
      <c r="C211" s="27">
        <v>13</v>
      </c>
      <c r="D211" s="8" t="s">
        <v>4</v>
      </c>
      <c r="E211" s="6" t="s">
        <v>42</v>
      </c>
      <c r="F211" s="9" t="s">
        <v>43</v>
      </c>
      <c r="G211" s="9"/>
    </row>
    <row r="212" spans="1:7" ht="45" x14ac:dyDescent="0.25">
      <c r="A212" s="4" t="str">
        <f>IF(D212="","",IF([50]Informationen!D$13="","Keine Rolle angegeben",[50]Informationen!D$13))</f>
        <v>VNB</v>
      </c>
      <c r="B212" s="15" t="str">
        <f>IF(A212="","",[50]Informationen!C$12)</f>
        <v>Stadtwerke Germersheim GmbH</v>
      </c>
      <c r="C212" s="27">
        <v>14</v>
      </c>
      <c r="D212" s="8" t="s">
        <v>4</v>
      </c>
      <c r="E212" s="6" t="s">
        <v>44</v>
      </c>
      <c r="F212" s="9" t="s">
        <v>43</v>
      </c>
      <c r="G212" s="9"/>
    </row>
    <row r="213" spans="1:7" ht="30" x14ac:dyDescent="0.25">
      <c r="A213" s="4" t="str">
        <f>IF(D213="","",IF([50]Informationen!D$13="","Keine Rolle angegeben",[50]Informationen!D$13))</f>
        <v>VNB</v>
      </c>
      <c r="B213" s="15" t="str">
        <f>IF(A213="","",[50]Informationen!C$12)</f>
        <v>Stadtwerke Germersheim GmbH</v>
      </c>
      <c r="C213" s="27">
        <v>15</v>
      </c>
      <c r="D213" s="8" t="s">
        <v>4</v>
      </c>
      <c r="E213" s="6" t="s">
        <v>8</v>
      </c>
      <c r="F213" s="9" t="s">
        <v>43</v>
      </c>
      <c r="G213" s="9"/>
    </row>
    <row r="214" spans="1:7" ht="135" x14ac:dyDescent="0.25">
      <c r="A214" s="4" t="str">
        <f>IF(D214="","",IF([50]Informationen!D$13="","Keine Rolle angegeben",[50]Informationen!D$13))</f>
        <v>VNB</v>
      </c>
      <c r="B214" s="15" t="str">
        <f>IF(A214="","",[50]Informationen!C$12)</f>
        <v>Stadtwerke Germersheim GmbH</v>
      </c>
      <c r="C214" s="27">
        <v>16</v>
      </c>
      <c r="D214" s="8" t="s">
        <v>45</v>
      </c>
      <c r="E214" s="6"/>
      <c r="F214" s="9" t="s">
        <v>46</v>
      </c>
      <c r="G214" s="9" t="s">
        <v>47</v>
      </c>
    </row>
    <row r="215" spans="1:7" ht="135" x14ac:dyDescent="0.25">
      <c r="A215" s="4" t="str">
        <f>IF(D215="","",IF([50]Informationen!D$13="","Keine Rolle angegeben",[50]Informationen!D$13))</f>
        <v>VNB</v>
      </c>
      <c r="B215" s="15" t="str">
        <f>IF(A215="","",[50]Informationen!C$12)</f>
        <v>Stadtwerke Germersheim GmbH</v>
      </c>
      <c r="C215" s="27">
        <v>17</v>
      </c>
      <c r="D215" s="8" t="s">
        <v>45</v>
      </c>
      <c r="E215" s="6"/>
      <c r="F215" s="9" t="s">
        <v>46</v>
      </c>
      <c r="G215" s="9" t="s">
        <v>48</v>
      </c>
    </row>
    <row r="216" spans="1:7" ht="75" x14ac:dyDescent="0.25">
      <c r="A216" s="4" t="str">
        <f>IF(D216="","",IF([51]Informationen!D$13="","Keine Rolle angegeben",[51]Informationen!D$13))</f>
        <v>VNB</v>
      </c>
      <c r="B216" s="15" t="str">
        <f>IF(A216="","",[51]Informationen!C$12)</f>
        <v>Stadtwerke Grünstadt GmbH</v>
      </c>
      <c r="C216" s="27">
        <v>1</v>
      </c>
      <c r="D216" s="8" t="s">
        <v>0</v>
      </c>
      <c r="E216" s="6" t="s">
        <v>22</v>
      </c>
      <c r="F216" s="9" t="s">
        <v>23</v>
      </c>
      <c r="G216" s="9" t="s">
        <v>24</v>
      </c>
    </row>
    <row r="217" spans="1:7" ht="375" x14ac:dyDescent="0.25">
      <c r="A217" s="4" t="str">
        <f>IF(D217="","",IF([51]Informationen!D$13="","Keine Rolle angegeben",[51]Informationen!D$13))</f>
        <v>VNB</v>
      </c>
      <c r="B217" s="15" t="str">
        <f>IF(A217="","",[51]Informationen!C$12)</f>
        <v>Stadtwerke Grünstadt GmbH</v>
      </c>
      <c r="C217" s="27">
        <v>2</v>
      </c>
      <c r="D217" s="8" t="s">
        <v>0</v>
      </c>
      <c r="E217" s="6" t="s">
        <v>1</v>
      </c>
      <c r="F217" s="9" t="s">
        <v>2</v>
      </c>
      <c r="G217" s="9" t="s">
        <v>3</v>
      </c>
    </row>
    <row r="218" spans="1:7" ht="330" x14ac:dyDescent="0.25">
      <c r="A218" s="4" t="str">
        <f>IF(D218="","",IF([51]Informationen!D$13="","Keine Rolle angegeben",[51]Informationen!D$13))</f>
        <v>VNB</v>
      </c>
      <c r="B218" s="15" t="str">
        <f>IF(A218="","",[51]Informationen!C$12)</f>
        <v>Stadtwerke Grünstadt GmbH</v>
      </c>
      <c r="C218" s="27">
        <v>3</v>
      </c>
      <c r="D218" s="8" t="s">
        <v>0</v>
      </c>
      <c r="E218" s="6" t="s">
        <v>25</v>
      </c>
      <c r="F218" s="9" t="s">
        <v>26</v>
      </c>
      <c r="G218" s="9" t="s">
        <v>27</v>
      </c>
    </row>
    <row r="219" spans="1:7" ht="120" x14ac:dyDescent="0.25">
      <c r="A219" s="4" t="str">
        <f>IF(D219="","",IF([51]Informationen!D$13="","Keine Rolle angegeben",[51]Informationen!D$13))</f>
        <v>VNB</v>
      </c>
      <c r="B219" s="15" t="str">
        <f>IF(A219="","",[51]Informationen!C$12)</f>
        <v>Stadtwerke Grünstadt GmbH</v>
      </c>
      <c r="C219" s="27">
        <v>4</v>
      </c>
      <c r="D219" s="8" t="s">
        <v>0</v>
      </c>
      <c r="E219" s="6" t="s">
        <v>28</v>
      </c>
      <c r="F219" s="9" t="s">
        <v>29</v>
      </c>
      <c r="G219" s="9" t="s">
        <v>30</v>
      </c>
    </row>
    <row r="220" spans="1:7" ht="90" x14ac:dyDescent="0.25">
      <c r="A220" s="4" t="str">
        <f>IF(D220="","",IF([51]Informationen!D$13="","Keine Rolle angegeben",[51]Informationen!D$13))</f>
        <v>VNB</v>
      </c>
      <c r="B220" s="15" t="str">
        <f>IF(A220="","",[51]Informationen!C$12)</f>
        <v>Stadtwerke Grünstadt GmbH</v>
      </c>
      <c r="C220" s="27">
        <v>5</v>
      </c>
      <c r="D220" s="8" t="s">
        <v>31</v>
      </c>
      <c r="E220" s="6" t="s">
        <v>32</v>
      </c>
      <c r="F220" s="9"/>
      <c r="G220" s="9" t="s">
        <v>33</v>
      </c>
    </row>
    <row r="221" spans="1:7" ht="150" x14ac:dyDescent="0.25">
      <c r="A221" s="4" t="str">
        <f>IF(D221="","",IF([51]Informationen!D$13="","Keine Rolle angegeben",[51]Informationen!D$13))</f>
        <v>VNB</v>
      </c>
      <c r="B221" s="15" t="str">
        <f>IF(A221="","",[51]Informationen!C$12)</f>
        <v>Stadtwerke Grünstadt GmbH</v>
      </c>
      <c r="C221" s="27">
        <v>6</v>
      </c>
      <c r="D221" s="8" t="s">
        <v>4</v>
      </c>
      <c r="E221" s="6" t="s">
        <v>34</v>
      </c>
      <c r="F221" s="9" t="s">
        <v>35</v>
      </c>
      <c r="G221" s="9" t="s">
        <v>36</v>
      </c>
    </row>
    <row r="222" spans="1:7" ht="135" x14ac:dyDescent="0.25">
      <c r="A222" s="4" t="str">
        <f>IF(D222="","",IF([51]Informationen!D$13="","Keine Rolle angegeben",[51]Informationen!D$13))</f>
        <v>VNB</v>
      </c>
      <c r="B222" s="15" t="str">
        <f>IF(A222="","",[51]Informationen!C$12)</f>
        <v>Stadtwerke Grünstadt GmbH</v>
      </c>
      <c r="C222" s="27">
        <v>7</v>
      </c>
      <c r="D222" s="8" t="s">
        <v>4</v>
      </c>
      <c r="E222" s="6" t="s">
        <v>37</v>
      </c>
      <c r="F222" s="9" t="s">
        <v>38</v>
      </c>
      <c r="G222" s="9" t="s">
        <v>39</v>
      </c>
    </row>
    <row r="223" spans="1:7" ht="45" x14ac:dyDescent="0.25">
      <c r="A223" s="4" t="str">
        <f>IF(D223="","",IF([51]Informationen!D$13="","Keine Rolle angegeben",[51]Informationen!D$13))</f>
        <v>VNB</v>
      </c>
      <c r="B223" s="15" t="str">
        <f>IF(A223="","",[51]Informationen!C$12)</f>
        <v>Stadtwerke Grünstadt GmbH</v>
      </c>
      <c r="C223" s="27">
        <v>8</v>
      </c>
      <c r="D223" s="8" t="s">
        <v>4</v>
      </c>
      <c r="E223" s="6" t="s">
        <v>40</v>
      </c>
      <c r="F223" s="9"/>
      <c r="G223" s="9" t="s">
        <v>41</v>
      </c>
    </row>
    <row r="224" spans="1:7" ht="60" x14ac:dyDescent="0.25">
      <c r="A224" s="4" t="str">
        <f>IF(D224="","",IF([51]Informationen!D$13="","Keine Rolle angegeben",[51]Informationen!D$13))</f>
        <v>VNB</v>
      </c>
      <c r="B224" s="15" t="str">
        <f>IF(A224="","",[51]Informationen!C$12)</f>
        <v>Stadtwerke Grünstadt GmbH</v>
      </c>
      <c r="C224" s="27">
        <v>9</v>
      </c>
      <c r="D224" s="8" t="s">
        <v>4</v>
      </c>
      <c r="E224" s="6" t="s">
        <v>42</v>
      </c>
      <c r="F224" s="9" t="s">
        <v>43</v>
      </c>
      <c r="G224" s="9"/>
    </row>
    <row r="225" spans="1:7" ht="45" x14ac:dyDescent="0.25">
      <c r="A225" s="4" t="str">
        <f>IF(D225="","",IF([51]Informationen!D$13="","Keine Rolle angegeben",[51]Informationen!D$13))</f>
        <v>VNB</v>
      </c>
      <c r="B225" s="15" t="str">
        <f>IF(A225="","",[51]Informationen!C$12)</f>
        <v>Stadtwerke Grünstadt GmbH</v>
      </c>
      <c r="C225" s="27">
        <v>10</v>
      </c>
      <c r="D225" s="8" t="s">
        <v>4</v>
      </c>
      <c r="E225" s="6" t="s">
        <v>44</v>
      </c>
      <c r="F225" s="9" t="s">
        <v>43</v>
      </c>
      <c r="G225" s="9"/>
    </row>
    <row r="226" spans="1:7" ht="30" x14ac:dyDescent="0.25">
      <c r="A226" s="4" t="str">
        <f>IF(D226="","",IF([51]Informationen!D$13="","Keine Rolle angegeben",[51]Informationen!D$13))</f>
        <v>VNB</v>
      </c>
      <c r="B226" s="15" t="str">
        <f>IF(A226="","",[51]Informationen!C$12)</f>
        <v>Stadtwerke Grünstadt GmbH</v>
      </c>
      <c r="C226" s="27">
        <v>11</v>
      </c>
      <c r="D226" s="8" t="s">
        <v>4</v>
      </c>
      <c r="E226" s="6" t="s">
        <v>8</v>
      </c>
      <c r="F226" s="9" t="s">
        <v>43</v>
      </c>
      <c r="G226" s="9"/>
    </row>
    <row r="227" spans="1:7" ht="135" x14ac:dyDescent="0.25">
      <c r="A227" s="4" t="str">
        <f>IF(D227="","",IF([51]Informationen!D$13="","Keine Rolle angegeben",[51]Informationen!D$13))</f>
        <v>VNB</v>
      </c>
      <c r="B227" s="15" t="str">
        <f>IF(A227="","",[51]Informationen!C$12)</f>
        <v>Stadtwerke Grünstadt GmbH</v>
      </c>
      <c r="C227" s="27">
        <v>12</v>
      </c>
      <c r="D227" s="8" t="s">
        <v>45</v>
      </c>
      <c r="E227" s="6"/>
      <c r="F227" s="9" t="s">
        <v>46</v>
      </c>
      <c r="G227" s="9" t="s">
        <v>47</v>
      </c>
    </row>
    <row r="228" spans="1:7" ht="135" x14ac:dyDescent="0.25">
      <c r="A228" s="4" t="str">
        <f>IF(D228="","",IF([51]Informationen!D$13="","Keine Rolle angegeben",[51]Informationen!D$13))</f>
        <v>VNB</v>
      </c>
      <c r="B228" s="15" t="str">
        <f>IF(A228="","",[51]Informationen!C$12)</f>
        <v>Stadtwerke Grünstadt GmbH</v>
      </c>
      <c r="C228" s="27">
        <v>13</v>
      </c>
      <c r="D228" s="8" t="s">
        <v>45</v>
      </c>
      <c r="E228" s="6"/>
      <c r="F228" s="9" t="s">
        <v>46</v>
      </c>
      <c r="G228" s="9" t="s">
        <v>48</v>
      </c>
    </row>
    <row r="229" spans="1:7" ht="375" x14ac:dyDescent="0.25">
      <c r="A229" s="4" t="str">
        <f>IF(D229="","",IF([52]Informationen!D$13="","Keine Rolle angegeben",[52]Informationen!D$13))</f>
        <v>VNB</v>
      </c>
      <c r="B229" s="15" t="str">
        <f>IF(A229="","",[52]Informationen!C$12)</f>
        <v>Stadtwerke Iserlohn GmbH</v>
      </c>
      <c r="C229" s="27">
        <v>1</v>
      </c>
      <c r="D229" s="8" t="s">
        <v>0</v>
      </c>
      <c r="E229" s="6" t="s">
        <v>1</v>
      </c>
      <c r="F229" s="9" t="s">
        <v>2</v>
      </c>
      <c r="G229" s="9" t="s">
        <v>3</v>
      </c>
    </row>
    <row r="230" spans="1:7" ht="150" x14ac:dyDescent="0.25">
      <c r="A230" s="4" t="str">
        <f>IF(D230="","",IF([52]Informationen!D$13="","Keine Rolle angegeben",[52]Informationen!D$13))</f>
        <v>VNB</v>
      </c>
      <c r="B230" s="15" t="str">
        <f>IF(A230="","",[52]Informationen!C$12)</f>
        <v>Stadtwerke Iserlohn GmbH</v>
      </c>
      <c r="C230" s="27">
        <v>2</v>
      </c>
      <c r="D230" s="8" t="s">
        <v>4</v>
      </c>
      <c r="E230" s="6" t="s">
        <v>5</v>
      </c>
      <c r="F230" s="9" t="s">
        <v>6</v>
      </c>
      <c r="G230" s="9" t="s">
        <v>7</v>
      </c>
    </row>
    <row r="231" spans="1:7" ht="375" x14ac:dyDescent="0.25">
      <c r="A231" s="4" t="str">
        <f>IF(D231="","",IF([53]Informationen!D$13="","Keine Rolle angegeben",[53]Informationen!D$13))</f>
        <v>VNB</v>
      </c>
      <c r="B231" s="15" t="str">
        <f>IF(A231="","",[53]Informationen!C$12)</f>
        <v>Stadtwerke Karlsruhe Netzservice GmbH</v>
      </c>
      <c r="C231" s="27">
        <v>1</v>
      </c>
      <c r="D231" s="8" t="s">
        <v>0</v>
      </c>
      <c r="E231" s="6" t="s">
        <v>1</v>
      </c>
      <c r="F231" s="9" t="s">
        <v>2</v>
      </c>
      <c r="G231" s="9" t="s">
        <v>3</v>
      </c>
    </row>
    <row r="232" spans="1:7" ht="90" x14ac:dyDescent="0.25">
      <c r="A232" s="4" t="str">
        <f>IF(D232="","",IF([53]Informationen!D$13="","Keine Rolle angegeben",[53]Informationen!D$13))</f>
        <v>VNB</v>
      </c>
      <c r="B232" s="15" t="str">
        <f>IF(A232="","",[53]Informationen!C$12)</f>
        <v>Stadtwerke Karlsruhe Netzservice GmbH</v>
      </c>
      <c r="C232" s="27">
        <v>2</v>
      </c>
      <c r="D232" s="8" t="s">
        <v>31</v>
      </c>
      <c r="E232" s="6" t="s">
        <v>182</v>
      </c>
      <c r="F232" s="9" t="s">
        <v>183</v>
      </c>
      <c r="G232" s="9" t="s">
        <v>184</v>
      </c>
    </row>
    <row r="233" spans="1:7" ht="150" x14ac:dyDescent="0.25">
      <c r="A233" s="4" t="str">
        <f>IF(D233="","",IF([53]Informationen!D$13="","Keine Rolle angegeben",[53]Informationen!D$13))</f>
        <v>VNB</v>
      </c>
      <c r="B233" s="15" t="str">
        <f>IF(A233="","",[53]Informationen!C$12)</f>
        <v>Stadtwerke Karlsruhe Netzservice GmbH</v>
      </c>
      <c r="C233" s="27">
        <v>3</v>
      </c>
      <c r="D233" s="8" t="s">
        <v>4</v>
      </c>
      <c r="E233" s="6" t="s">
        <v>5</v>
      </c>
      <c r="F233" s="9" t="s">
        <v>6</v>
      </c>
      <c r="G233" s="9" t="s">
        <v>7</v>
      </c>
    </row>
    <row r="234" spans="1:7" ht="409.5" x14ac:dyDescent="0.25">
      <c r="A234" s="4" t="str">
        <f>IF(D234="","",IF([54]Informationen!D$13="","Keine Rolle angegeben",[54]Informationen!D$13))</f>
        <v>VNB</v>
      </c>
      <c r="B234" s="15" t="str">
        <f>IF(A234="","",[54]Informationen!C$12)</f>
        <v>Stadtwerke Kempen GmbH</v>
      </c>
      <c r="C234" s="27">
        <v>1</v>
      </c>
      <c r="D234" s="8" t="s">
        <v>0</v>
      </c>
      <c r="E234" s="6" t="s">
        <v>211</v>
      </c>
      <c r="F234" s="9" t="s">
        <v>212</v>
      </c>
      <c r="G234" s="9" t="s">
        <v>213</v>
      </c>
    </row>
    <row r="235" spans="1:7" ht="405" x14ac:dyDescent="0.25">
      <c r="A235" s="4" t="str">
        <f>IF(D235="","",IF([54]Informationen!D$13="","Keine Rolle angegeben",[54]Informationen!D$13))</f>
        <v>VNB</v>
      </c>
      <c r="B235" s="15" t="str">
        <f>IF(A235="","",[54]Informationen!C$12)</f>
        <v>Stadtwerke Kempen GmbH</v>
      </c>
      <c r="C235" s="27">
        <v>2</v>
      </c>
      <c r="D235" s="8" t="s">
        <v>4</v>
      </c>
      <c r="E235" s="6" t="s">
        <v>214</v>
      </c>
      <c r="F235" s="9" t="s">
        <v>215</v>
      </c>
      <c r="G235" s="9" t="s">
        <v>216</v>
      </c>
    </row>
    <row r="236" spans="1:7" ht="409.5" x14ac:dyDescent="0.25">
      <c r="A236" s="10" t="str">
        <f>IF(D236="","",IF([55]Informationen!D$13="","Keine Rolle angegeben",[55]Informationen!D$13))</f>
        <v>VNB</v>
      </c>
      <c r="B236" s="25" t="str">
        <f>IF(A236="","",[55]Informationen!C$12)</f>
        <v>Stadtwerke Lindau (B) GmbH &amp; Co. KG</v>
      </c>
      <c r="C236" s="28">
        <v>1</v>
      </c>
      <c r="D236" s="11" t="s">
        <v>0</v>
      </c>
      <c r="E236" s="1" t="s">
        <v>211</v>
      </c>
      <c r="F236" s="5" t="s">
        <v>212</v>
      </c>
      <c r="G236" s="5" t="s">
        <v>213</v>
      </c>
    </row>
    <row r="237" spans="1:7" ht="405" x14ac:dyDescent="0.25">
      <c r="A237" s="10" t="str">
        <f>IF(D237="","",IF([55]Informationen!D$13="","Keine Rolle angegeben",[55]Informationen!D$13))</f>
        <v>VNB</v>
      </c>
      <c r="B237" s="25" t="str">
        <f>IF(A237="","",[55]Informationen!C$12)</f>
        <v>Stadtwerke Lindau (B) GmbH &amp; Co. KG</v>
      </c>
      <c r="C237" s="28">
        <v>2</v>
      </c>
      <c r="D237" s="11" t="s">
        <v>4</v>
      </c>
      <c r="E237" s="1" t="s">
        <v>214</v>
      </c>
      <c r="F237" s="5" t="s">
        <v>215</v>
      </c>
      <c r="G237" s="5" t="s">
        <v>216</v>
      </c>
    </row>
    <row r="238" spans="1:7" ht="375" x14ac:dyDescent="0.25">
      <c r="A238" s="4" t="str">
        <f>IF(D238="","",IF([56]Informationen!D$13="","Keine Rolle angegeben",[56]Informationen!D$13))</f>
        <v>VNB</v>
      </c>
      <c r="B238" s="15" t="str">
        <f>IF(A238="","",[56]Informationen!C$12)</f>
        <v>Stadtwerke Mengen</v>
      </c>
      <c r="C238" s="27">
        <v>1</v>
      </c>
      <c r="D238" s="8" t="s">
        <v>0</v>
      </c>
      <c r="E238" s="6" t="s">
        <v>1</v>
      </c>
      <c r="F238" s="9" t="s">
        <v>2</v>
      </c>
      <c r="G238" s="9" t="s">
        <v>3</v>
      </c>
    </row>
    <row r="239" spans="1:7" ht="150" x14ac:dyDescent="0.25">
      <c r="A239" s="4" t="str">
        <f>IF(D239="","",IF([56]Informationen!D$13="","Keine Rolle angegeben",[56]Informationen!D$13))</f>
        <v>VNB</v>
      </c>
      <c r="B239" s="15" t="str">
        <f>IF(A239="","",[56]Informationen!C$12)</f>
        <v>Stadtwerke Mengen</v>
      </c>
      <c r="C239" s="27">
        <v>2</v>
      </c>
      <c r="D239" s="8" t="s">
        <v>4</v>
      </c>
      <c r="E239" s="6" t="s">
        <v>5</v>
      </c>
      <c r="F239" s="9" t="s">
        <v>6</v>
      </c>
      <c r="G239" s="9" t="s">
        <v>7</v>
      </c>
    </row>
    <row r="240" spans="1:7" ht="375" x14ac:dyDescent="0.25">
      <c r="A240" s="4" t="str">
        <f>IF(D240="","",IF([57]Informationen!D$13="","Keine Rolle angegeben",[57]Informationen!D$13))</f>
        <v>VNB</v>
      </c>
      <c r="B240" s="15" t="str">
        <f>IF(A240="","",[57]Informationen!C$12)</f>
        <v>Stadtwerke Metzingen</v>
      </c>
      <c r="C240" s="27">
        <v>1</v>
      </c>
      <c r="D240" s="8" t="s">
        <v>0</v>
      </c>
      <c r="E240" s="6" t="s">
        <v>1</v>
      </c>
      <c r="F240" s="9" t="s">
        <v>2</v>
      </c>
      <c r="G240" s="9" t="s">
        <v>3</v>
      </c>
    </row>
    <row r="241" spans="1:7" ht="150" x14ac:dyDescent="0.25">
      <c r="A241" s="4" t="str">
        <f>IF(D241="","",IF([57]Informationen!D$13="","Keine Rolle angegeben",[57]Informationen!D$13))</f>
        <v>VNB</v>
      </c>
      <c r="B241" s="15" t="str">
        <f>IF(A241="","",[57]Informationen!C$12)</f>
        <v>Stadtwerke Metzingen</v>
      </c>
      <c r="C241" s="27">
        <v>2</v>
      </c>
      <c r="D241" s="8" t="s">
        <v>4</v>
      </c>
      <c r="E241" s="6" t="s">
        <v>5</v>
      </c>
      <c r="F241" s="9" t="s">
        <v>6</v>
      </c>
      <c r="G241" s="9" t="s">
        <v>7</v>
      </c>
    </row>
    <row r="242" spans="1:7" ht="375" x14ac:dyDescent="0.25">
      <c r="A242" s="4" t="str">
        <f>IF(D242="","",IF([58]Informationen!D$13="","Keine Rolle angegeben",[58]Informationen!D$13))</f>
        <v>VNB</v>
      </c>
      <c r="B242" s="15" t="str">
        <f>IF(A242="","",[58]Informationen!C$12)</f>
        <v>Stadtwerke Mühlacker GmbH</v>
      </c>
      <c r="C242" s="27">
        <v>1</v>
      </c>
      <c r="D242" s="8" t="s">
        <v>0</v>
      </c>
      <c r="E242" s="6" t="s">
        <v>1</v>
      </c>
      <c r="F242" s="9" t="s">
        <v>2</v>
      </c>
      <c r="G242" s="9" t="s">
        <v>3</v>
      </c>
    </row>
    <row r="243" spans="1:7" ht="150" x14ac:dyDescent="0.25">
      <c r="A243" s="4" t="str">
        <f>IF(D243="","",IF([58]Informationen!D$13="","Keine Rolle angegeben",[58]Informationen!D$13))</f>
        <v>VNB</v>
      </c>
      <c r="B243" s="15" t="str">
        <f>IF(A243="","",[58]Informationen!C$12)</f>
        <v>Stadtwerke Mühlacker GmbH</v>
      </c>
      <c r="C243" s="27">
        <v>2</v>
      </c>
      <c r="D243" s="8" t="s">
        <v>4</v>
      </c>
      <c r="E243" s="6" t="s">
        <v>5</v>
      </c>
      <c r="F243" s="9" t="s">
        <v>6</v>
      </c>
      <c r="G243" s="9" t="s">
        <v>7</v>
      </c>
    </row>
    <row r="244" spans="1:7" ht="375" x14ac:dyDescent="0.25">
      <c r="A244" s="4" t="str">
        <f>IF(D244="","",IF([59]Informationen!D$13="","Keine Rolle angegeben",[59]Informationen!D$13))</f>
        <v>VNB</v>
      </c>
      <c r="B244" s="15" t="str">
        <f>IF(A244="","",[59]Informationen!C$12)</f>
        <v>Stadtwerke Nürtingen GmbH</v>
      </c>
      <c r="C244" s="27">
        <v>1</v>
      </c>
      <c r="D244" s="8" t="s">
        <v>0</v>
      </c>
      <c r="E244" s="6" t="s">
        <v>1</v>
      </c>
      <c r="F244" s="9" t="s">
        <v>2</v>
      </c>
      <c r="G244" s="9" t="s">
        <v>3</v>
      </c>
    </row>
    <row r="245" spans="1:7" ht="150" x14ac:dyDescent="0.25">
      <c r="A245" s="4" t="str">
        <f>IF(D245="","",IF([59]Informationen!D$13="","Keine Rolle angegeben",[59]Informationen!D$13))</f>
        <v>VNB</v>
      </c>
      <c r="B245" s="15" t="str">
        <f>IF(A245="","",[59]Informationen!C$12)</f>
        <v>Stadtwerke Nürtingen GmbH</v>
      </c>
      <c r="C245" s="27">
        <v>2</v>
      </c>
      <c r="D245" s="8" t="s">
        <v>4</v>
      </c>
      <c r="E245" s="6" t="s">
        <v>5</v>
      </c>
      <c r="F245" s="9" t="s">
        <v>6</v>
      </c>
      <c r="G245" s="9" t="s">
        <v>7</v>
      </c>
    </row>
    <row r="246" spans="1:7" ht="375" x14ac:dyDescent="0.25">
      <c r="A246" s="4" t="str">
        <f>IF(D246="","",IF([60]Informationen!D$13="","Keine Rolle angegeben",[60]Informationen!D$13))</f>
        <v>VNB</v>
      </c>
      <c r="B246" s="15" t="str">
        <f>IF(A246="","",[60]Informationen!C$12)</f>
        <v>Stadtwerke Oranienburg GmbH</v>
      </c>
      <c r="C246" s="27">
        <v>1</v>
      </c>
      <c r="D246" s="8" t="s">
        <v>0</v>
      </c>
      <c r="E246" s="6" t="s">
        <v>1</v>
      </c>
      <c r="F246" s="9" t="s">
        <v>2</v>
      </c>
      <c r="G246" s="9" t="s">
        <v>3</v>
      </c>
    </row>
    <row r="247" spans="1:7" ht="150" x14ac:dyDescent="0.25">
      <c r="A247" s="4" t="str">
        <f>IF(D247="","",IF([60]Informationen!D$13="","Keine Rolle angegeben",[60]Informationen!D$13))</f>
        <v>VNB</v>
      </c>
      <c r="B247" s="15" t="str">
        <f>IF(A247="","",[60]Informationen!C$12)</f>
        <v>Stadtwerke Oranienburg GmbH</v>
      </c>
      <c r="C247" s="27">
        <v>2</v>
      </c>
      <c r="D247" s="8" t="s">
        <v>4</v>
      </c>
      <c r="E247" s="6" t="s">
        <v>5</v>
      </c>
      <c r="F247" s="9" t="s">
        <v>6</v>
      </c>
      <c r="G247" s="9" t="s">
        <v>7</v>
      </c>
    </row>
    <row r="248" spans="1:7" ht="375" x14ac:dyDescent="0.25">
      <c r="A248" s="4" t="str">
        <f>IF(D248="","",IF([61]Informationen!D$13="","Keine Rolle angegeben",[61]Informationen!D$13))</f>
        <v>VNB</v>
      </c>
      <c r="B248" s="15" t="str">
        <f>IF(A248="","",[61]Informationen!C$12)</f>
        <v>Stadtwerke Parchim GmbH</v>
      </c>
      <c r="C248" s="27">
        <v>1</v>
      </c>
      <c r="D248" s="8" t="s">
        <v>0</v>
      </c>
      <c r="E248" s="6" t="s">
        <v>1</v>
      </c>
      <c r="F248" s="9" t="s">
        <v>2</v>
      </c>
      <c r="G248" s="9" t="s">
        <v>3</v>
      </c>
    </row>
    <row r="249" spans="1:7" ht="150" x14ac:dyDescent="0.25">
      <c r="A249" s="4" t="str">
        <f>IF(D249="","",IF([61]Informationen!D$13="","Keine Rolle angegeben",[61]Informationen!D$13))</f>
        <v>VNB</v>
      </c>
      <c r="B249" s="15" t="str">
        <f>IF(A249="","",[61]Informationen!C$12)</f>
        <v>Stadtwerke Parchim GmbH</v>
      </c>
      <c r="C249" s="27">
        <v>2</v>
      </c>
      <c r="D249" s="8" t="s">
        <v>4</v>
      </c>
      <c r="E249" s="6" t="s">
        <v>5</v>
      </c>
      <c r="F249" s="9" t="s">
        <v>6</v>
      </c>
      <c r="G249" s="9" t="s">
        <v>7</v>
      </c>
    </row>
    <row r="250" spans="1:7" ht="375" x14ac:dyDescent="0.25">
      <c r="A250" s="4" t="str">
        <f>IF(D250="","",IF([62]Informationen!D$13="","Keine Rolle angegeben",[62]Informationen!D$13))</f>
        <v>VNB</v>
      </c>
      <c r="B250" s="15" t="str">
        <f>IF(A250="","",[62]Informationen!C$12)</f>
        <v>Stadtwerke Passau GmbH</v>
      </c>
      <c r="C250" s="27">
        <v>1</v>
      </c>
      <c r="D250" s="8" t="s">
        <v>0</v>
      </c>
      <c r="E250" s="6" t="s">
        <v>1</v>
      </c>
      <c r="F250" s="9" t="s">
        <v>2</v>
      </c>
      <c r="G250" s="9" t="s">
        <v>3</v>
      </c>
    </row>
    <row r="251" spans="1:7" ht="150" x14ac:dyDescent="0.25">
      <c r="A251" s="4" t="str">
        <f>IF(D251="","",IF([62]Informationen!D$13="","Keine Rolle angegeben",[62]Informationen!D$13))</f>
        <v>VNB</v>
      </c>
      <c r="B251" s="15" t="str">
        <f>IF(A251="","",[62]Informationen!C$12)</f>
        <v>Stadtwerke Passau GmbH</v>
      </c>
      <c r="C251" s="27">
        <v>2</v>
      </c>
      <c r="D251" s="8" t="s">
        <v>4</v>
      </c>
      <c r="E251" s="6" t="s">
        <v>5</v>
      </c>
      <c r="F251" s="9" t="s">
        <v>6</v>
      </c>
      <c r="G251" s="9" t="s">
        <v>7</v>
      </c>
    </row>
    <row r="252" spans="1:7" ht="75" x14ac:dyDescent="0.25">
      <c r="A252" s="4" t="str">
        <f>IF(D252="","",IF([63]Informationen!D$13="","Keine Rolle angegeben",[63]Informationen!D$13))</f>
        <v>VNB</v>
      </c>
      <c r="B252" s="15" t="str">
        <f>IF(A252="","",[63]Informationen!C$12)</f>
        <v>Stadtwerke Pirmasens Versorgungs GmbH</v>
      </c>
      <c r="C252" s="27">
        <v>1</v>
      </c>
      <c r="D252" s="8" t="s">
        <v>0</v>
      </c>
      <c r="E252" s="6" t="s">
        <v>68</v>
      </c>
      <c r="F252" s="9"/>
      <c r="G252" s="9"/>
    </row>
    <row r="253" spans="1:7" ht="75" x14ac:dyDescent="0.25">
      <c r="A253" s="4" t="str">
        <f>IF(D253="","",IF([63]Informationen!D$13="","Keine Rolle angegeben",[63]Informationen!D$13))</f>
        <v>VNB</v>
      </c>
      <c r="B253" s="15" t="str">
        <f>IF(A253="","",[63]Informationen!C$12)</f>
        <v>Stadtwerke Pirmasens Versorgungs GmbH</v>
      </c>
      <c r="C253" s="27">
        <v>2</v>
      </c>
      <c r="D253" s="8" t="s">
        <v>0</v>
      </c>
      <c r="E253" s="6" t="s">
        <v>22</v>
      </c>
      <c r="F253" s="9" t="s">
        <v>23</v>
      </c>
      <c r="G253" s="9" t="s">
        <v>24</v>
      </c>
    </row>
    <row r="254" spans="1:7" ht="120" x14ac:dyDescent="0.25">
      <c r="A254" s="4" t="str">
        <f>IF(D254="","",IF([63]Informationen!D$13="","Keine Rolle angegeben",[63]Informationen!D$13))</f>
        <v>VNB</v>
      </c>
      <c r="B254" s="15" t="str">
        <f>IF(A254="","",[63]Informationen!C$12)</f>
        <v>Stadtwerke Pirmasens Versorgungs GmbH</v>
      </c>
      <c r="C254" s="27">
        <v>3</v>
      </c>
      <c r="D254" s="8" t="s">
        <v>0</v>
      </c>
      <c r="E254" s="6" t="s">
        <v>70</v>
      </c>
      <c r="F254" s="9"/>
      <c r="G254" s="9"/>
    </row>
    <row r="255" spans="1:7" ht="330" x14ac:dyDescent="0.25">
      <c r="A255" s="4" t="str">
        <f>IF(D255="","",IF([63]Informationen!D$13="","Keine Rolle angegeben",[63]Informationen!D$13))</f>
        <v>VNB</v>
      </c>
      <c r="B255" s="15" t="str">
        <f>IF(A255="","",[63]Informationen!C$12)</f>
        <v>Stadtwerke Pirmasens Versorgungs GmbH</v>
      </c>
      <c r="C255" s="27">
        <v>4</v>
      </c>
      <c r="D255" s="8" t="s">
        <v>0</v>
      </c>
      <c r="E255" s="6" t="s">
        <v>25</v>
      </c>
      <c r="F255" s="9" t="s">
        <v>26</v>
      </c>
      <c r="G255" s="9" t="s">
        <v>27</v>
      </c>
    </row>
    <row r="256" spans="1:7" ht="120" x14ac:dyDescent="0.25">
      <c r="A256" s="4" t="str">
        <f>IF(D256="","",IF([63]Informationen!D$13="","Keine Rolle angegeben",[63]Informationen!D$13))</f>
        <v>VNB</v>
      </c>
      <c r="B256" s="15" t="str">
        <f>IF(A256="","",[63]Informationen!C$12)</f>
        <v>Stadtwerke Pirmasens Versorgungs GmbH</v>
      </c>
      <c r="C256" s="27">
        <v>5</v>
      </c>
      <c r="D256" s="8" t="s">
        <v>0</v>
      </c>
      <c r="E256" s="6" t="s">
        <v>28</v>
      </c>
      <c r="F256" s="9" t="s">
        <v>29</v>
      </c>
      <c r="G256" s="9" t="s">
        <v>30</v>
      </c>
    </row>
    <row r="257" spans="1:7" ht="60" x14ac:dyDescent="0.25">
      <c r="A257" s="4" t="str">
        <f>IF(D257="","",IF([63]Informationen!D$13="","Keine Rolle angegeben",[63]Informationen!D$13))</f>
        <v>VNB</v>
      </c>
      <c r="B257" s="15" t="str">
        <f>IF(A257="","",[63]Informationen!C$12)</f>
        <v>Stadtwerke Pirmasens Versorgungs GmbH</v>
      </c>
      <c r="C257" s="27">
        <v>6</v>
      </c>
      <c r="D257" s="8" t="s">
        <v>31</v>
      </c>
      <c r="E257" s="6" t="s">
        <v>102</v>
      </c>
      <c r="F257" s="9"/>
      <c r="G257" s="9"/>
    </row>
    <row r="258" spans="1:7" ht="105" x14ac:dyDescent="0.25">
      <c r="A258" s="4" t="str">
        <f>IF(D258="","",IF([63]Informationen!D$13="","Keine Rolle angegeben",[63]Informationen!D$13))</f>
        <v>VNB</v>
      </c>
      <c r="B258" s="15" t="str">
        <f>IF(A258="","",[63]Informationen!C$12)</f>
        <v>Stadtwerke Pirmasens Versorgungs GmbH</v>
      </c>
      <c r="C258" s="27">
        <v>7</v>
      </c>
      <c r="D258" s="8" t="s">
        <v>31</v>
      </c>
      <c r="E258" s="6" t="s">
        <v>74</v>
      </c>
      <c r="F258" s="9"/>
      <c r="G258" s="9"/>
    </row>
    <row r="259" spans="1:7" ht="90" x14ac:dyDescent="0.25">
      <c r="A259" s="4" t="str">
        <f>IF(D259="","",IF([63]Informationen!D$13="","Keine Rolle angegeben",[63]Informationen!D$13))</f>
        <v>VNB</v>
      </c>
      <c r="B259" s="15" t="str">
        <f>IF(A259="","",[63]Informationen!C$12)</f>
        <v>Stadtwerke Pirmasens Versorgungs GmbH</v>
      </c>
      <c r="C259" s="27">
        <v>8</v>
      </c>
      <c r="D259" s="8" t="s">
        <v>31</v>
      </c>
      <c r="E259" s="6" t="s">
        <v>32</v>
      </c>
      <c r="F259" s="9"/>
      <c r="G259" s="9" t="s">
        <v>103</v>
      </c>
    </row>
    <row r="260" spans="1:7" ht="105" x14ac:dyDescent="0.25">
      <c r="A260" s="4" t="str">
        <f>IF(D260="","",IF([63]Informationen!D$13="","Keine Rolle angegeben",[63]Informationen!D$13))</f>
        <v>VNB</v>
      </c>
      <c r="B260" s="15" t="str">
        <f>IF(A260="","",[63]Informationen!C$12)</f>
        <v>Stadtwerke Pirmasens Versorgungs GmbH</v>
      </c>
      <c r="C260" s="27">
        <v>9</v>
      </c>
      <c r="D260" s="8" t="s">
        <v>4</v>
      </c>
      <c r="E260" s="6" t="s">
        <v>77</v>
      </c>
      <c r="F260" s="9"/>
      <c r="G260" s="9"/>
    </row>
    <row r="261" spans="1:7" ht="150" x14ac:dyDescent="0.25">
      <c r="A261" s="4" t="str">
        <f>IF(D261="","",IF([63]Informationen!D$13="","Keine Rolle angegeben",[63]Informationen!D$13))</f>
        <v>VNB</v>
      </c>
      <c r="B261" s="15" t="str">
        <f>IF(A261="","",[63]Informationen!C$12)</f>
        <v>Stadtwerke Pirmasens Versorgungs GmbH</v>
      </c>
      <c r="C261" s="27">
        <v>10</v>
      </c>
      <c r="D261" s="8" t="s">
        <v>4</v>
      </c>
      <c r="E261" s="6" t="s">
        <v>34</v>
      </c>
      <c r="F261" s="9" t="s">
        <v>35</v>
      </c>
      <c r="G261" s="9" t="s">
        <v>36</v>
      </c>
    </row>
    <row r="262" spans="1:7" ht="135" x14ac:dyDescent="0.25">
      <c r="A262" s="4" t="str">
        <f>IF(D262="","",IF([63]Informationen!D$13="","Keine Rolle angegeben",[63]Informationen!D$13))</f>
        <v>VNB</v>
      </c>
      <c r="B262" s="15" t="str">
        <f>IF(A262="","",[63]Informationen!C$12)</f>
        <v>Stadtwerke Pirmasens Versorgungs GmbH</v>
      </c>
      <c r="C262" s="27">
        <v>11</v>
      </c>
      <c r="D262" s="8" t="s">
        <v>4</v>
      </c>
      <c r="E262" s="6" t="s">
        <v>37</v>
      </c>
      <c r="F262" s="9" t="s">
        <v>38</v>
      </c>
      <c r="G262" s="9" t="s">
        <v>39</v>
      </c>
    </row>
    <row r="263" spans="1:7" ht="45" x14ac:dyDescent="0.25">
      <c r="A263" s="4" t="str">
        <f>IF(D263="","",IF([63]Informationen!D$13="","Keine Rolle angegeben",[63]Informationen!D$13))</f>
        <v>VNB</v>
      </c>
      <c r="B263" s="15" t="str">
        <f>IF(A263="","",[63]Informationen!C$12)</f>
        <v>Stadtwerke Pirmasens Versorgungs GmbH</v>
      </c>
      <c r="C263" s="27">
        <v>12</v>
      </c>
      <c r="D263" s="8" t="s">
        <v>4</v>
      </c>
      <c r="E263" s="6" t="s">
        <v>40</v>
      </c>
      <c r="F263" s="9"/>
      <c r="G263" s="9" t="s">
        <v>104</v>
      </c>
    </row>
    <row r="264" spans="1:7" ht="60" x14ac:dyDescent="0.25">
      <c r="A264" s="4" t="str">
        <f>IF(D264="","",IF([63]Informationen!D$13="","Keine Rolle angegeben",[63]Informationen!D$13))</f>
        <v>VNB</v>
      </c>
      <c r="B264" s="15" t="str">
        <f>IF(A264="","",[63]Informationen!C$12)</f>
        <v>Stadtwerke Pirmasens Versorgungs GmbH</v>
      </c>
      <c r="C264" s="27">
        <v>13</v>
      </c>
      <c r="D264" s="8" t="s">
        <v>4</v>
      </c>
      <c r="E264" s="6" t="s">
        <v>42</v>
      </c>
      <c r="F264" s="9" t="s">
        <v>43</v>
      </c>
      <c r="G264" s="9"/>
    </row>
    <row r="265" spans="1:7" ht="45" x14ac:dyDescent="0.25">
      <c r="A265" s="4" t="str">
        <f>IF(D265="","",IF([63]Informationen!D$13="","Keine Rolle angegeben",[63]Informationen!D$13))</f>
        <v>VNB</v>
      </c>
      <c r="B265" s="15" t="str">
        <f>IF(A265="","",[63]Informationen!C$12)</f>
        <v>Stadtwerke Pirmasens Versorgungs GmbH</v>
      </c>
      <c r="C265" s="27">
        <v>14</v>
      </c>
      <c r="D265" s="8" t="s">
        <v>4</v>
      </c>
      <c r="E265" s="6" t="s">
        <v>44</v>
      </c>
      <c r="F265" s="9" t="s">
        <v>43</v>
      </c>
      <c r="G265" s="9"/>
    </row>
    <row r="266" spans="1:7" ht="30" x14ac:dyDescent="0.25">
      <c r="A266" s="4" t="str">
        <f>IF(D266="","",IF([63]Informationen!D$13="","Keine Rolle angegeben",[63]Informationen!D$13))</f>
        <v>VNB</v>
      </c>
      <c r="B266" s="15" t="str">
        <f>IF(A266="","",[63]Informationen!C$12)</f>
        <v>Stadtwerke Pirmasens Versorgungs GmbH</v>
      </c>
      <c r="C266" s="27">
        <v>15</v>
      </c>
      <c r="D266" s="8" t="s">
        <v>4</v>
      </c>
      <c r="E266" s="6" t="s">
        <v>8</v>
      </c>
      <c r="F266" s="9" t="s">
        <v>43</v>
      </c>
      <c r="G266" s="9"/>
    </row>
    <row r="267" spans="1:7" ht="135" x14ac:dyDescent="0.25">
      <c r="A267" s="4" t="str">
        <f>IF(D267="","",IF([63]Informationen!D$13="","Keine Rolle angegeben",[63]Informationen!D$13))</f>
        <v>VNB</v>
      </c>
      <c r="B267" s="15" t="str">
        <f>IF(A267="","",[63]Informationen!C$12)</f>
        <v>Stadtwerke Pirmasens Versorgungs GmbH</v>
      </c>
      <c r="C267" s="27">
        <v>16</v>
      </c>
      <c r="D267" s="8" t="s">
        <v>45</v>
      </c>
      <c r="E267" s="6"/>
      <c r="F267" s="9" t="s">
        <v>46</v>
      </c>
      <c r="G267" s="9" t="s">
        <v>47</v>
      </c>
    </row>
    <row r="268" spans="1:7" ht="135" x14ac:dyDescent="0.25">
      <c r="A268" s="4" t="str">
        <f>IF(D268="","",IF([63]Informationen!D$13="","Keine Rolle angegeben",[63]Informationen!D$13))</f>
        <v>VNB</v>
      </c>
      <c r="B268" s="15" t="str">
        <f>IF(A268="","",[63]Informationen!C$12)</f>
        <v>Stadtwerke Pirmasens Versorgungs GmbH</v>
      </c>
      <c r="C268" s="27">
        <v>17</v>
      </c>
      <c r="D268" s="8" t="s">
        <v>45</v>
      </c>
      <c r="E268" s="6"/>
      <c r="F268" s="9" t="s">
        <v>46</v>
      </c>
      <c r="G268" s="9" t="s">
        <v>48</v>
      </c>
    </row>
    <row r="269" spans="1:7" ht="375" x14ac:dyDescent="0.25">
      <c r="A269" s="4" t="str">
        <f>IF(D269="","",IF([64]Informationen!D$13="","Keine Rolle angegeben",[64]Informationen!D$13))</f>
        <v>VNB</v>
      </c>
      <c r="B269" s="15" t="str">
        <f>IF(A269="","",[64]Informationen!C$12)</f>
        <v>Stadtwerke Rastatt GmbH</v>
      </c>
      <c r="C269" s="27">
        <v>1</v>
      </c>
      <c r="D269" s="8" t="s">
        <v>0</v>
      </c>
      <c r="E269" s="6" t="s">
        <v>1</v>
      </c>
      <c r="F269" s="9" t="s">
        <v>2</v>
      </c>
      <c r="G269" s="9" t="s">
        <v>3</v>
      </c>
    </row>
    <row r="270" spans="1:7" ht="150" x14ac:dyDescent="0.25">
      <c r="A270" s="4" t="str">
        <f>IF(D270="","",IF([64]Informationen!D$13="","Keine Rolle angegeben",[64]Informationen!D$13))</f>
        <v>VNB</v>
      </c>
      <c r="B270" s="15" t="str">
        <f>IF(A270="","",[64]Informationen!C$12)</f>
        <v>Stadtwerke Rastatt GmbH</v>
      </c>
      <c r="C270" s="27">
        <v>2</v>
      </c>
      <c r="D270" s="8" t="s">
        <v>4</v>
      </c>
      <c r="E270" s="6" t="s">
        <v>5</v>
      </c>
      <c r="F270" s="9" t="s">
        <v>6</v>
      </c>
      <c r="G270" s="9" t="s">
        <v>7</v>
      </c>
    </row>
    <row r="271" spans="1:7" ht="375" x14ac:dyDescent="0.25">
      <c r="A271" s="4" t="str">
        <f>IF(D271="","",IF([65]Informationen!D$13="","Keine Rolle angegeben",[65]Informationen!D$13))</f>
        <v>VNB</v>
      </c>
      <c r="B271" s="15" t="str">
        <f>IF(A271="","",[65]Informationen!C$12)</f>
        <v>Stadtwerke Rhede GmbH</v>
      </c>
      <c r="C271" s="27">
        <v>1</v>
      </c>
      <c r="D271" s="8" t="s">
        <v>0</v>
      </c>
      <c r="E271" s="6" t="s">
        <v>1</v>
      </c>
      <c r="F271" s="9" t="s">
        <v>2</v>
      </c>
      <c r="G271" s="9" t="s">
        <v>3</v>
      </c>
    </row>
    <row r="272" spans="1:7" ht="150" x14ac:dyDescent="0.25">
      <c r="A272" s="4" t="str">
        <f>IF(D272="","",IF([65]Informationen!D$13="","Keine Rolle angegeben",[65]Informationen!D$13))</f>
        <v>VNB</v>
      </c>
      <c r="B272" s="15" t="str">
        <f>IF(A272="","",[65]Informationen!C$12)</f>
        <v>Stadtwerke Rhede GmbH</v>
      </c>
      <c r="C272" s="27">
        <v>2</v>
      </c>
      <c r="D272" s="8" t="s">
        <v>4</v>
      </c>
      <c r="E272" s="6" t="s">
        <v>5</v>
      </c>
      <c r="F272" s="9" t="s">
        <v>6</v>
      </c>
      <c r="G272" s="9" t="s">
        <v>7</v>
      </c>
    </row>
    <row r="273" spans="1:7" ht="375" x14ac:dyDescent="0.25">
      <c r="A273" s="4" t="str">
        <f>IF(D273="","",IF([66]Informationen!D$13="","Keine Rolle angegeben",[66]Informationen!D$13))</f>
        <v>VNB</v>
      </c>
      <c r="B273" s="15" t="str">
        <f>IF(A273="","",[66]Informationen!C$12)</f>
        <v>Stadtwerke Saarbrücken Netz AG</v>
      </c>
      <c r="C273" s="27">
        <v>1</v>
      </c>
      <c r="D273" s="8" t="s">
        <v>0</v>
      </c>
      <c r="E273" s="6" t="s">
        <v>1</v>
      </c>
      <c r="F273" s="9" t="s">
        <v>2</v>
      </c>
      <c r="G273" s="9" t="s">
        <v>3</v>
      </c>
    </row>
    <row r="274" spans="1:7" ht="150" x14ac:dyDescent="0.25">
      <c r="A274" s="4" t="str">
        <f>IF(D274="","",IF([66]Informationen!D$13="","Keine Rolle angegeben",[66]Informationen!D$13))</f>
        <v>VNB</v>
      </c>
      <c r="B274" s="15" t="str">
        <f>IF(A274="","",[66]Informationen!C$12)</f>
        <v>Stadtwerke Saarbrücken Netz AG</v>
      </c>
      <c r="C274" s="27">
        <v>2</v>
      </c>
      <c r="D274" s="8" t="s">
        <v>4</v>
      </c>
      <c r="E274" s="6" t="s">
        <v>5</v>
      </c>
      <c r="F274" s="9" t="s">
        <v>6</v>
      </c>
      <c r="G274" s="9" t="s">
        <v>7</v>
      </c>
    </row>
    <row r="275" spans="1:7" ht="375" x14ac:dyDescent="0.25">
      <c r="A275" s="4" t="str">
        <f>IF(D275="","",IF([67]Informationen!D$13="","Keine Rolle angegeben",[67]Informationen!D$13))</f>
        <v>VNB</v>
      </c>
      <c r="B275" s="15" t="str">
        <f>IF(A275="","",[67]Informationen!C$12)</f>
        <v>Stadtwerke Schwäbisch Hall GmbH</v>
      </c>
      <c r="C275" s="27">
        <v>1</v>
      </c>
      <c r="D275" s="8" t="s">
        <v>0</v>
      </c>
      <c r="E275" s="6" t="s">
        <v>1</v>
      </c>
      <c r="F275" s="9" t="s">
        <v>2</v>
      </c>
      <c r="G275" s="9" t="s">
        <v>3</v>
      </c>
    </row>
    <row r="276" spans="1:7" ht="270" x14ac:dyDescent="0.25">
      <c r="A276" s="4" t="str">
        <f>IF(D276="","",IF([67]Informationen!D$13="","Keine Rolle angegeben",[67]Informationen!D$13))</f>
        <v>VNB</v>
      </c>
      <c r="B276" s="15" t="str">
        <f>IF(A276="","",[67]Informationen!C$12)</f>
        <v>Stadtwerke Schwäbisch Hall GmbH</v>
      </c>
      <c r="C276" s="27">
        <v>2</v>
      </c>
      <c r="D276" s="8" t="s">
        <v>4</v>
      </c>
      <c r="E276" s="6" t="s">
        <v>5</v>
      </c>
      <c r="F276" s="9" t="s">
        <v>259</v>
      </c>
      <c r="G276" s="9" t="s">
        <v>260</v>
      </c>
    </row>
    <row r="277" spans="1:7" ht="375" x14ac:dyDescent="0.25">
      <c r="A277" s="4" t="str">
        <f>IF(D277="","",IF([68]Informationen!D$13="","Keine Rolle angegeben",[68]Informationen!D$13))</f>
        <v>VNB</v>
      </c>
      <c r="B277" s="15" t="str">
        <f>IF(A277="","",[68]Informationen!C$12)</f>
        <v>Stadtwerke Sindelfingen GmbH</v>
      </c>
      <c r="C277" s="27">
        <v>1</v>
      </c>
      <c r="D277" s="8" t="s">
        <v>0</v>
      </c>
      <c r="E277" s="6" t="s">
        <v>1</v>
      </c>
      <c r="F277" s="9" t="s">
        <v>2</v>
      </c>
      <c r="G277" s="9" t="s">
        <v>3</v>
      </c>
    </row>
    <row r="278" spans="1:7" ht="150" x14ac:dyDescent="0.25">
      <c r="A278" s="4" t="str">
        <f>IF(D278="","",IF([68]Informationen!D$13="","Keine Rolle angegeben",[68]Informationen!D$13))</f>
        <v>VNB</v>
      </c>
      <c r="B278" s="15" t="str">
        <f>IF(A278="","",[68]Informationen!C$12)</f>
        <v>Stadtwerke Sindelfingen GmbH</v>
      </c>
      <c r="C278" s="27">
        <v>2</v>
      </c>
      <c r="D278" s="8" t="s">
        <v>4</v>
      </c>
      <c r="E278" s="6" t="s">
        <v>5</v>
      </c>
      <c r="F278" s="9" t="s">
        <v>6</v>
      </c>
      <c r="G278" s="9" t="s">
        <v>7</v>
      </c>
    </row>
    <row r="279" spans="1:7" ht="375" x14ac:dyDescent="0.25">
      <c r="A279" s="4" t="str">
        <f>IF(D279="","",IF([69]Informationen!D$13="","Keine Rolle angegeben",[69]Informationen!D$13))</f>
        <v>VNB</v>
      </c>
      <c r="B279" s="15" t="str">
        <f>IF(A279="","",[69]Informationen!C$12)</f>
        <v>Stadtwerke Troisdorf GmbH</v>
      </c>
      <c r="C279" s="27">
        <v>1</v>
      </c>
      <c r="D279" s="8" t="s">
        <v>0</v>
      </c>
      <c r="E279" s="6" t="s">
        <v>1</v>
      </c>
      <c r="F279" s="9" t="s">
        <v>2</v>
      </c>
      <c r="G279" s="9" t="s">
        <v>3</v>
      </c>
    </row>
    <row r="280" spans="1:7" ht="150" x14ac:dyDescent="0.25">
      <c r="A280" s="4" t="str">
        <f>IF(D280="","",IF([69]Informationen!D$13="","Keine Rolle angegeben",[69]Informationen!D$13))</f>
        <v>VNB</v>
      </c>
      <c r="B280" s="15" t="str">
        <f>IF(A280="","",[69]Informationen!C$12)</f>
        <v>Stadtwerke Troisdorf GmbH</v>
      </c>
      <c r="C280" s="27">
        <v>2</v>
      </c>
      <c r="D280" s="8" t="s">
        <v>4</v>
      </c>
      <c r="E280" s="6" t="s">
        <v>5</v>
      </c>
      <c r="F280" s="9" t="s">
        <v>6</v>
      </c>
      <c r="G280" s="9" t="s">
        <v>7</v>
      </c>
    </row>
    <row r="281" spans="1:7" ht="375" x14ac:dyDescent="0.25">
      <c r="A281" s="4" t="str">
        <f>IF(D281="","",IF([70]Informationen!D$13="","Keine Rolle angegeben",[70]Informationen!D$13))</f>
        <v>VNB</v>
      </c>
      <c r="B281" s="15" t="str">
        <f>IF(A281="","",[70]Informationen!C$12)</f>
        <v>Stadtwerke Tübingen GmbH</v>
      </c>
      <c r="C281" s="27">
        <v>1</v>
      </c>
      <c r="D281" s="8" t="s">
        <v>0</v>
      </c>
      <c r="E281" s="6" t="s">
        <v>1</v>
      </c>
      <c r="F281" s="9" t="s">
        <v>2</v>
      </c>
      <c r="G281" s="9" t="s">
        <v>3</v>
      </c>
    </row>
    <row r="282" spans="1:7" ht="150" x14ac:dyDescent="0.25">
      <c r="A282" s="4" t="str">
        <f>IF(D282="","",IF([70]Informationen!D$13="","Keine Rolle angegeben",[70]Informationen!D$13))</f>
        <v>VNB</v>
      </c>
      <c r="B282" s="15" t="str">
        <f>IF(A282="","",[70]Informationen!C$12)</f>
        <v>Stadtwerke Tübingen GmbH</v>
      </c>
      <c r="C282" s="27">
        <v>2</v>
      </c>
      <c r="D282" s="8" t="s">
        <v>4</v>
      </c>
      <c r="E282" s="6" t="s">
        <v>5</v>
      </c>
      <c r="F282" s="9" t="s">
        <v>6</v>
      </c>
      <c r="G282" s="9" t="s">
        <v>7</v>
      </c>
    </row>
    <row r="283" spans="1:7" ht="30" x14ac:dyDescent="0.25">
      <c r="A283" s="4" t="str">
        <f>IF(D283="","",IF([70]Informationen!D$13="","Keine Rolle angegeben",[70]Informationen!D$13))</f>
        <v>VNB</v>
      </c>
      <c r="B283" s="15" t="str">
        <f>IF(A283="","",[70]Informationen!C$12)</f>
        <v>Stadtwerke Tübingen GmbH</v>
      </c>
      <c r="C283" s="27">
        <v>3</v>
      </c>
      <c r="D283" s="8" t="s">
        <v>0</v>
      </c>
      <c r="E283" s="23" t="s">
        <v>90</v>
      </c>
      <c r="F283" s="9" t="s">
        <v>91</v>
      </c>
      <c r="G283" s="9" t="s">
        <v>92</v>
      </c>
    </row>
    <row r="284" spans="1:7" ht="30" x14ac:dyDescent="0.25">
      <c r="A284" s="4" t="str">
        <f>IF(D284="","",IF([70]Informationen!D$13="","Keine Rolle angegeben",[70]Informationen!D$13))</f>
        <v>VNB</v>
      </c>
      <c r="B284" s="15" t="str">
        <f>IF(A284="","",[70]Informationen!C$12)</f>
        <v>Stadtwerke Tübingen GmbH</v>
      </c>
      <c r="C284" s="27">
        <v>4</v>
      </c>
      <c r="D284" s="8" t="s">
        <v>0</v>
      </c>
      <c r="E284" s="6" t="s">
        <v>93</v>
      </c>
      <c r="F284" s="9" t="s">
        <v>94</v>
      </c>
      <c r="G284" s="9" t="s">
        <v>95</v>
      </c>
    </row>
    <row r="285" spans="1:7" ht="90" x14ac:dyDescent="0.25">
      <c r="A285" s="4" t="str">
        <f>IF(D285="","",IF([70]Informationen!D$13="","Keine Rolle angegeben",[70]Informationen!D$13))</f>
        <v>VNB</v>
      </c>
      <c r="B285" s="15" t="str">
        <f>IF(A285="","",[70]Informationen!C$12)</f>
        <v>Stadtwerke Tübingen GmbH</v>
      </c>
      <c r="C285" s="27">
        <v>5</v>
      </c>
      <c r="D285" s="8" t="s">
        <v>4</v>
      </c>
      <c r="E285" s="24" t="s">
        <v>96</v>
      </c>
      <c r="F285" s="9" t="s">
        <v>97</v>
      </c>
      <c r="G285" s="9" t="s">
        <v>98</v>
      </c>
    </row>
    <row r="286" spans="1:7" ht="45" x14ac:dyDescent="0.25">
      <c r="A286" s="4" t="str">
        <f>IF(D286="","",IF([70]Informationen!D$13="","Keine Rolle angegeben",[70]Informationen!D$13))</f>
        <v>VNB</v>
      </c>
      <c r="B286" s="15" t="str">
        <f>IF(A286="","",[70]Informationen!C$12)</f>
        <v>Stadtwerke Tübingen GmbH</v>
      </c>
      <c r="C286" s="27">
        <v>6</v>
      </c>
      <c r="D286" s="8" t="s">
        <v>4</v>
      </c>
      <c r="E286" s="6" t="s">
        <v>99</v>
      </c>
      <c r="F286" s="9" t="s">
        <v>100</v>
      </c>
      <c r="G286" s="9" t="s">
        <v>101</v>
      </c>
    </row>
    <row r="287" spans="1:7" ht="375" x14ac:dyDescent="0.25">
      <c r="A287" s="4" t="str">
        <f>IF(D287="","",IF([71]Informationen!D$13="","Keine Rolle angegeben",[71]Informationen!D$13))</f>
        <v>VNB</v>
      </c>
      <c r="B287" s="15" t="str">
        <f>IF(A287="","",[71]Informationen!C$12)</f>
        <v>Stadtwerke Ulm/Neu-Ulm Netze GmbH</v>
      </c>
      <c r="C287" s="27">
        <v>1</v>
      </c>
      <c r="D287" s="8" t="s">
        <v>0</v>
      </c>
      <c r="E287" s="6" t="s">
        <v>1</v>
      </c>
      <c r="F287" s="9" t="s">
        <v>2</v>
      </c>
      <c r="G287" s="9" t="s">
        <v>3</v>
      </c>
    </row>
    <row r="288" spans="1:7" ht="150" x14ac:dyDescent="0.25">
      <c r="A288" s="4" t="str">
        <f>IF(D288="","",IF([71]Informationen!D$13="","Keine Rolle angegeben",[71]Informationen!D$13))</f>
        <v>VNB</v>
      </c>
      <c r="B288" s="15" t="str">
        <f>IF(A288="","",[71]Informationen!C$12)</f>
        <v>Stadtwerke Ulm/Neu-Ulm Netze GmbH</v>
      </c>
      <c r="C288" s="27">
        <v>2</v>
      </c>
      <c r="D288" s="8" t="s">
        <v>4</v>
      </c>
      <c r="E288" s="6" t="s">
        <v>5</v>
      </c>
      <c r="F288" s="9" t="s">
        <v>6</v>
      </c>
      <c r="G288" s="9" t="s">
        <v>7</v>
      </c>
    </row>
    <row r="289" spans="1:7" ht="375" x14ac:dyDescent="0.25">
      <c r="A289" s="4" t="str">
        <f>IF(D289="","",IF([72]Informationen!D$13="","Keine Rolle angegeben",[72]Informationen!D$13))</f>
        <v>VNB</v>
      </c>
      <c r="B289" s="15" t="str">
        <f>IF(A289="","",[72]Informationen!C$12)</f>
        <v>Stadtwerke Wedel GmbH</v>
      </c>
      <c r="C289" s="27">
        <v>1</v>
      </c>
      <c r="D289" s="8" t="s">
        <v>0</v>
      </c>
      <c r="E289" s="6" t="s">
        <v>1</v>
      </c>
      <c r="F289" s="9" t="s">
        <v>2</v>
      </c>
      <c r="G289" s="9" t="s">
        <v>3</v>
      </c>
    </row>
    <row r="290" spans="1:7" ht="150" x14ac:dyDescent="0.25">
      <c r="A290" s="4" t="str">
        <f>IF(D290="","",IF([72]Informationen!D$13="","Keine Rolle angegeben",[72]Informationen!D$13))</f>
        <v>VNB</v>
      </c>
      <c r="B290" s="15" t="str">
        <f>IF(A290="","",[72]Informationen!C$12)</f>
        <v>Stadtwerke Wedel GmbH</v>
      </c>
      <c r="C290" s="27">
        <v>2</v>
      </c>
      <c r="D290" s="8" t="s">
        <v>4</v>
      </c>
      <c r="E290" s="6" t="s">
        <v>5</v>
      </c>
      <c r="F290" s="9" t="s">
        <v>6</v>
      </c>
      <c r="G290" s="9" t="s">
        <v>7</v>
      </c>
    </row>
    <row r="291" spans="1:7" ht="375" x14ac:dyDescent="0.25">
      <c r="A291" s="4" t="str">
        <f>IF(D291="","",IF([73]Informationen!D$13="","Keine Rolle angegeben",[73]Informationen!D$13))</f>
        <v>VNB</v>
      </c>
      <c r="B291" s="15" t="str">
        <f>IF(A291="","",[73]Informationen!C$12)</f>
        <v>Stadztwerke Neustadt an der Weinstraße GmbH</v>
      </c>
      <c r="C291" s="27">
        <v>1</v>
      </c>
      <c r="D291" s="8" t="s">
        <v>0</v>
      </c>
      <c r="E291" s="6" t="s">
        <v>1</v>
      </c>
      <c r="F291" s="9" t="s">
        <v>2</v>
      </c>
      <c r="G291" s="9" t="s">
        <v>3</v>
      </c>
    </row>
    <row r="292" spans="1:7" ht="150" x14ac:dyDescent="0.25">
      <c r="A292" s="4" t="str">
        <f>IF(D292="","",IF([73]Informationen!D$13="","Keine Rolle angegeben",[73]Informationen!D$13))</f>
        <v>VNB</v>
      </c>
      <c r="B292" s="15" t="str">
        <f>IF(A292="","",[73]Informationen!C$12)</f>
        <v>Stadztwerke Neustadt an der Weinstraße GmbH</v>
      </c>
      <c r="C292" s="27">
        <v>2</v>
      </c>
      <c r="D292" s="8" t="s">
        <v>4</v>
      </c>
      <c r="E292" s="6" t="s">
        <v>5</v>
      </c>
      <c r="F292" s="9" t="s">
        <v>6</v>
      </c>
      <c r="G292" s="9" t="s">
        <v>7</v>
      </c>
    </row>
    <row r="293" spans="1:7" ht="60" x14ac:dyDescent="0.25">
      <c r="A293" s="4" t="str">
        <f>IF(D293="","",IF([74]Informationen!D$13="","Keine Rolle angegeben",[74]Informationen!D$13))</f>
        <v>VNB</v>
      </c>
      <c r="B293" s="15" t="str">
        <f>IF(A293="","",[74]Informationen!C$12)</f>
        <v>Stuttgart Netze GmbH</v>
      </c>
      <c r="C293" s="27">
        <v>1</v>
      </c>
      <c r="D293" s="8" t="s">
        <v>0</v>
      </c>
      <c r="E293" s="6"/>
      <c r="F293" s="9" t="s">
        <v>269</v>
      </c>
      <c r="G293" s="9" t="s">
        <v>270</v>
      </c>
    </row>
    <row r="294" spans="1:7" ht="75" x14ac:dyDescent="0.25">
      <c r="A294" s="4" t="str">
        <f>IF(D294="","",IF([74]Informationen!D$13="","Keine Rolle angegeben",[74]Informationen!D$13))</f>
        <v>VNB</v>
      </c>
      <c r="B294" s="15" t="str">
        <f>IF(A294="","",[74]Informationen!C$12)</f>
        <v>Stuttgart Netze GmbH</v>
      </c>
      <c r="C294" s="27">
        <v>2</v>
      </c>
      <c r="D294" s="8" t="s">
        <v>4</v>
      </c>
      <c r="E294" s="6"/>
      <c r="F294" s="9" t="s">
        <v>271</v>
      </c>
      <c r="G294" s="9" t="s">
        <v>272</v>
      </c>
    </row>
    <row r="295" spans="1:7" ht="60" x14ac:dyDescent="0.25">
      <c r="A295" s="4" t="str">
        <f>IF(D295="","",IF([74]Informationen!D$13="","Keine Rolle angegeben",[74]Informationen!D$13))</f>
        <v>VNB</v>
      </c>
      <c r="B295" s="15" t="str">
        <f>IF(A295="","",[74]Informationen!C$12)</f>
        <v>Stuttgart Netze GmbH</v>
      </c>
      <c r="C295" s="27">
        <v>3</v>
      </c>
      <c r="D295" s="8" t="s">
        <v>4</v>
      </c>
      <c r="E295" s="6" t="s">
        <v>273</v>
      </c>
      <c r="F295" s="9" t="s">
        <v>274</v>
      </c>
      <c r="G295" s="9" t="s">
        <v>275</v>
      </c>
    </row>
    <row r="296" spans="1:7" ht="375" x14ac:dyDescent="0.25">
      <c r="A296" s="4" t="str">
        <f>IF(D296="","",IF([75]Informationen!D$13="","Keine Rolle angegeben",[75]Informationen!D$13))</f>
        <v>VNB</v>
      </c>
      <c r="B296" s="15" t="str">
        <f>IF(A296="","",[75]Informationen!C$12)</f>
        <v>SWL Energienetz- und Entsorgungsgesellschaft mbH</v>
      </c>
      <c r="C296" s="27">
        <v>1</v>
      </c>
      <c r="D296" s="8" t="s">
        <v>0</v>
      </c>
      <c r="E296" s="6" t="s">
        <v>1</v>
      </c>
      <c r="F296" s="9" t="s">
        <v>2</v>
      </c>
      <c r="G296" s="9" t="s">
        <v>3</v>
      </c>
    </row>
    <row r="297" spans="1:7" ht="150" x14ac:dyDescent="0.25">
      <c r="A297" s="4" t="str">
        <f>IF(D297="","",IF([75]Informationen!D$13="","Keine Rolle angegeben",[75]Informationen!D$13))</f>
        <v>VNB</v>
      </c>
      <c r="B297" s="15" t="str">
        <f>IF(A297="","",[75]Informationen!C$12)</f>
        <v>SWL Energienetz- und Entsorgungsgesellschaft mbH</v>
      </c>
      <c r="C297" s="27">
        <v>2</v>
      </c>
      <c r="D297" s="8" t="s">
        <v>4</v>
      </c>
      <c r="E297" s="6" t="s">
        <v>5</v>
      </c>
      <c r="F297" s="9" t="s">
        <v>6</v>
      </c>
      <c r="G297" s="9" t="s">
        <v>7</v>
      </c>
    </row>
    <row r="298" spans="1:7" ht="375" x14ac:dyDescent="0.25">
      <c r="A298" s="4" t="str">
        <f>IF(D298="","",IF([76]Informationen!D$13="","Keine Rolle angegeben",[76]Informationen!D$13))</f>
        <v>VNB</v>
      </c>
      <c r="B298" s="15" t="str">
        <f>IF(A298="","",[76]Informationen!C$12)</f>
        <v>SWL Übertragungsnetzgesellschaft mbH</v>
      </c>
      <c r="C298" s="27">
        <v>1</v>
      </c>
      <c r="D298" s="8" t="s">
        <v>0</v>
      </c>
      <c r="E298" s="6" t="s">
        <v>1</v>
      </c>
      <c r="F298" s="9" t="s">
        <v>2</v>
      </c>
      <c r="G298" s="9" t="s">
        <v>3</v>
      </c>
    </row>
    <row r="299" spans="1:7" ht="150" x14ac:dyDescent="0.25">
      <c r="A299" s="4" t="str">
        <f>IF(D299="","",IF([76]Informationen!D$13="","Keine Rolle angegeben",[76]Informationen!D$13))</f>
        <v>VNB</v>
      </c>
      <c r="B299" s="15" t="str">
        <f>IF(A299="","",[76]Informationen!C$12)</f>
        <v>SWL Übertragungsnetzgesellschaft mbH</v>
      </c>
      <c r="C299" s="27">
        <v>2</v>
      </c>
      <c r="D299" s="8" t="s">
        <v>4</v>
      </c>
      <c r="E299" s="6" t="s">
        <v>5</v>
      </c>
      <c r="F299" s="9" t="s">
        <v>6</v>
      </c>
      <c r="G299" s="9" t="s">
        <v>7</v>
      </c>
    </row>
    <row r="300" spans="1:7" ht="375" x14ac:dyDescent="0.25">
      <c r="A300" s="4" t="str">
        <f>IF(D300="","",IF([77]Informationen!D$13="","Keine Rolle angegeben",[77]Informationen!D$13))</f>
        <v>VNB</v>
      </c>
      <c r="B300" s="15" t="str">
        <f>IF(A300="","",[77]Informationen!C$12)</f>
        <v>SWL Verteilungsnetzgesellschaft mbH</v>
      </c>
      <c r="C300" s="27">
        <v>1</v>
      </c>
      <c r="D300" s="8" t="s">
        <v>0</v>
      </c>
      <c r="E300" s="6" t="s">
        <v>1</v>
      </c>
      <c r="F300" s="9" t="s">
        <v>2</v>
      </c>
      <c r="G300" s="9" t="s">
        <v>3</v>
      </c>
    </row>
    <row r="301" spans="1:7" ht="150" x14ac:dyDescent="0.25">
      <c r="A301" s="4" t="str">
        <f>IF(D301="","",IF([77]Informationen!D$13="","Keine Rolle angegeben",[77]Informationen!D$13))</f>
        <v>VNB</v>
      </c>
      <c r="B301" s="15" t="str">
        <f>IF(A301="","",[77]Informationen!C$12)</f>
        <v>SWL Verteilungsnetzgesellschaft mbH</v>
      </c>
      <c r="C301" s="27">
        <v>2</v>
      </c>
      <c r="D301" s="8" t="s">
        <v>4</v>
      </c>
      <c r="E301" s="6" t="s">
        <v>5</v>
      </c>
      <c r="F301" s="9" t="s">
        <v>6</v>
      </c>
      <c r="G301" s="9" t="s">
        <v>7</v>
      </c>
    </row>
    <row r="302" spans="1:7" ht="375" x14ac:dyDescent="0.25">
      <c r="A302" s="4" t="str">
        <f>IF(D302="","",IF([78]Informationen!D$13="","Keine Rolle angegeben",[78]Informationen!D$13))</f>
        <v>VNB</v>
      </c>
      <c r="B302" s="15" t="str">
        <f>IF(A302="","",[78]Informationen!C$12)</f>
        <v>SWO Netz GmbH</v>
      </c>
      <c r="C302" s="27">
        <v>1</v>
      </c>
      <c r="D302" s="8" t="s">
        <v>0</v>
      </c>
      <c r="E302" s="6" t="s">
        <v>1</v>
      </c>
      <c r="F302" s="9" t="s">
        <v>2</v>
      </c>
      <c r="G302" s="9" t="s">
        <v>3</v>
      </c>
    </row>
    <row r="303" spans="1:7" ht="150" x14ac:dyDescent="0.25">
      <c r="A303" s="4" t="str">
        <f>IF(D303="","",IF([78]Informationen!D$13="","Keine Rolle angegeben",[78]Informationen!D$13))</f>
        <v>VNB</v>
      </c>
      <c r="B303" s="15" t="str">
        <f>IF(A303="","",[78]Informationen!C$12)</f>
        <v>SWO Netz GmbH</v>
      </c>
      <c r="C303" s="27">
        <v>2</v>
      </c>
      <c r="D303" s="8" t="s">
        <v>4</v>
      </c>
      <c r="E303" s="6" t="s">
        <v>5</v>
      </c>
      <c r="F303" s="9" t="s">
        <v>6</v>
      </c>
      <c r="G303" s="9" t="s">
        <v>7</v>
      </c>
    </row>
    <row r="304" spans="1:7" ht="375" x14ac:dyDescent="0.25">
      <c r="A304" s="4" t="str">
        <f>IF(D304="","",IF([79]Informationen!D$13="","Keine Rolle angegeben",[79]Informationen!D$13))</f>
        <v>VNB</v>
      </c>
      <c r="B304" s="15" t="str">
        <f>IF(A304="","",[79]Informationen!C$12)</f>
        <v>SWTE Netz Gm</v>
      </c>
      <c r="C304" s="27">
        <v>1</v>
      </c>
      <c r="D304" s="8" t="s">
        <v>0</v>
      </c>
      <c r="E304" s="6" t="s">
        <v>1</v>
      </c>
      <c r="F304" s="9" t="s">
        <v>2</v>
      </c>
      <c r="G304" s="9" t="s">
        <v>3</v>
      </c>
    </row>
    <row r="305" spans="1:7" ht="150" x14ac:dyDescent="0.25">
      <c r="A305" s="4" t="str">
        <f>IF(D305="","",IF([79]Informationen!D$13="","Keine Rolle angegeben",[79]Informationen!D$13))</f>
        <v>VNB</v>
      </c>
      <c r="B305" s="15" t="str">
        <f>IF(A305="","",[79]Informationen!C$12)</f>
        <v>SWTE Netz Gm</v>
      </c>
      <c r="C305" s="27">
        <v>2</v>
      </c>
      <c r="D305" s="8" t="s">
        <v>4</v>
      </c>
      <c r="E305" s="6" t="s">
        <v>5</v>
      </c>
      <c r="F305" s="9" t="s">
        <v>6</v>
      </c>
      <c r="G305" s="9" t="s">
        <v>7</v>
      </c>
    </row>
    <row r="306" spans="1:7" ht="30" x14ac:dyDescent="0.25">
      <c r="A306" s="4" t="str">
        <f>IF(D306="","",IF([80]Informationen!D$13="","Keine Rolle angegeben",[80]Informationen!D$13))</f>
        <v>VNB</v>
      </c>
      <c r="B306" s="15" t="str">
        <f>IF(A306="","",[80]Informationen!C$12)</f>
        <v>TEN Thüringer Energienetze GmbH &amp; Co. KG</v>
      </c>
      <c r="C306" s="27">
        <v>1</v>
      </c>
      <c r="D306" s="8" t="s">
        <v>10</v>
      </c>
      <c r="E306" s="6"/>
      <c r="F306" s="9"/>
      <c r="G306" s="9" t="s">
        <v>11</v>
      </c>
    </row>
    <row r="307" spans="1:7" ht="75" x14ac:dyDescent="0.25">
      <c r="A307" s="4" t="str">
        <f>IF(D307="","",IF([81]Informationen!D$13="","Keine Rolle angegeben",[81]Informationen!D$13))</f>
        <v>Keine Rolle angegeben</v>
      </c>
      <c r="B307" s="15" t="str">
        <f>IF(A307="","",[81]Informationen!C$12)</f>
        <v>Thüga Aktiengesellschaft</v>
      </c>
      <c r="C307" s="27">
        <v>1</v>
      </c>
      <c r="D307" s="8" t="s">
        <v>0</v>
      </c>
      <c r="E307" s="6" t="s">
        <v>68</v>
      </c>
      <c r="F307" s="9"/>
      <c r="G307" s="9"/>
    </row>
    <row r="308" spans="1:7" ht="75" x14ac:dyDescent="0.25">
      <c r="A308" s="4" t="str">
        <f>IF(D308="","",IF([81]Informationen!D$13="","Keine Rolle angegeben",[81]Informationen!D$13))</f>
        <v>Keine Rolle angegeben</v>
      </c>
      <c r="B308" s="15" t="str">
        <f>IF(A308="","",[81]Informationen!C$12)</f>
        <v>Thüga Aktiengesellschaft</v>
      </c>
      <c r="C308" s="27">
        <v>2</v>
      </c>
      <c r="D308" s="8" t="s">
        <v>0</v>
      </c>
      <c r="E308" s="6" t="s">
        <v>22</v>
      </c>
      <c r="F308" s="9" t="s">
        <v>23</v>
      </c>
      <c r="G308" s="9" t="s">
        <v>24</v>
      </c>
    </row>
    <row r="309" spans="1:7" ht="120" x14ac:dyDescent="0.25">
      <c r="A309" s="4" t="str">
        <f>IF(D309="","",IF([81]Informationen!D$13="","Keine Rolle angegeben",[81]Informationen!D$13))</f>
        <v>Keine Rolle angegeben</v>
      </c>
      <c r="B309" s="15" t="str">
        <f>IF(A309="","",[81]Informationen!C$12)</f>
        <v>Thüga Aktiengesellschaft</v>
      </c>
      <c r="C309" s="27">
        <v>3</v>
      </c>
      <c r="D309" s="8" t="s">
        <v>0</v>
      </c>
      <c r="E309" s="6" t="s">
        <v>70</v>
      </c>
      <c r="F309" s="9"/>
      <c r="G309" s="9"/>
    </row>
    <row r="310" spans="1:7" ht="330" x14ac:dyDescent="0.25">
      <c r="A310" s="4" t="str">
        <f>IF(D310="","",IF([81]Informationen!D$13="","Keine Rolle angegeben",[81]Informationen!D$13))</f>
        <v>Keine Rolle angegeben</v>
      </c>
      <c r="B310" s="15" t="str">
        <f>IF(A310="","",[81]Informationen!C$12)</f>
        <v>Thüga Aktiengesellschaft</v>
      </c>
      <c r="C310" s="27">
        <v>4</v>
      </c>
      <c r="D310" s="8" t="s">
        <v>0</v>
      </c>
      <c r="E310" s="6" t="s">
        <v>25</v>
      </c>
      <c r="F310" s="9" t="s">
        <v>26</v>
      </c>
      <c r="G310" s="9" t="s">
        <v>27</v>
      </c>
    </row>
    <row r="311" spans="1:7" ht="120" x14ac:dyDescent="0.25">
      <c r="A311" s="4" t="str">
        <f>IF(D311="","",IF([81]Informationen!D$13="","Keine Rolle angegeben",[81]Informationen!D$13))</f>
        <v>Keine Rolle angegeben</v>
      </c>
      <c r="B311" s="15" t="str">
        <f>IF(A311="","",[81]Informationen!C$12)</f>
        <v>Thüga Aktiengesellschaft</v>
      </c>
      <c r="C311" s="27">
        <v>5</v>
      </c>
      <c r="D311" s="8" t="s">
        <v>0</v>
      </c>
      <c r="E311" s="6" t="s">
        <v>28</v>
      </c>
      <c r="F311" s="9" t="s">
        <v>29</v>
      </c>
      <c r="G311" s="9" t="s">
        <v>30</v>
      </c>
    </row>
    <row r="312" spans="1:7" ht="60" x14ac:dyDescent="0.25">
      <c r="A312" s="4" t="str">
        <f>IF(D312="","",IF([81]Informationen!D$13="","Keine Rolle angegeben",[81]Informationen!D$13))</f>
        <v>Keine Rolle angegeben</v>
      </c>
      <c r="B312" s="15" t="str">
        <f>IF(A312="","",[81]Informationen!C$12)</f>
        <v>Thüga Aktiengesellschaft</v>
      </c>
      <c r="C312" s="27">
        <v>6</v>
      </c>
      <c r="D312" s="8" t="s">
        <v>31</v>
      </c>
      <c r="E312" s="6" t="s">
        <v>102</v>
      </c>
      <c r="F312" s="9"/>
      <c r="G312" s="9"/>
    </row>
    <row r="313" spans="1:7" ht="105" x14ac:dyDescent="0.25">
      <c r="A313" s="4" t="str">
        <f>IF(D313="","",IF([81]Informationen!D$13="","Keine Rolle angegeben",[81]Informationen!D$13))</f>
        <v>Keine Rolle angegeben</v>
      </c>
      <c r="B313" s="15" t="str">
        <f>IF(A313="","",[81]Informationen!C$12)</f>
        <v>Thüga Aktiengesellschaft</v>
      </c>
      <c r="C313" s="27">
        <v>7</v>
      </c>
      <c r="D313" s="8" t="s">
        <v>31</v>
      </c>
      <c r="E313" s="6" t="s">
        <v>74</v>
      </c>
      <c r="F313" s="9"/>
      <c r="G313" s="9"/>
    </row>
    <row r="314" spans="1:7" ht="90" x14ac:dyDescent="0.25">
      <c r="A314" s="4" t="str">
        <f>IF(D314="","",IF([81]Informationen!D$13="","Keine Rolle angegeben",[81]Informationen!D$13))</f>
        <v>Keine Rolle angegeben</v>
      </c>
      <c r="B314" s="15" t="str">
        <f>IF(A314="","",[81]Informationen!C$12)</f>
        <v>Thüga Aktiengesellschaft</v>
      </c>
      <c r="C314" s="27">
        <v>8</v>
      </c>
      <c r="D314" s="8" t="s">
        <v>31</v>
      </c>
      <c r="E314" s="6" t="s">
        <v>32</v>
      </c>
      <c r="F314" s="9"/>
      <c r="G314" s="9" t="s">
        <v>103</v>
      </c>
    </row>
    <row r="315" spans="1:7" ht="105" x14ac:dyDescent="0.25">
      <c r="A315" s="4" t="str">
        <f>IF(D315="","",IF([81]Informationen!D$13="","Keine Rolle angegeben",[81]Informationen!D$13))</f>
        <v>Keine Rolle angegeben</v>
      </c>
      <c r="B315" s="15" t="str">
        <f>IF(A315="","",[81]Informationen!C$12)</f>
        <v>Thüga Aktiengesellschaft</v>
      </c>
      <c r="C315" s="27">
        <v>9</v>
      </c>
      <c r="D315" s="8" t="s">
        <v>4</v>
      </c>
      <c r="E315" s="6" t="s">
        <v>77</v>
      </c>
      <c r="F315" s="9"/>
      <c r="G315" s="9"/>
    </row>
    <row r="316" spans="1:7" ht="150" x14ac:dyDescent="0.25">
      <c r="A316" s="4" t="str">
        <f>IF(D316="","",IF([81]Informationen!D$13="","Keine Rolle angegeben",[81]Informationen!D$13))</f>
        <v>Keine Rolle angegeben</v>
      </c>
      <c r="B316" s="15" t="str">
        <f>IF(A316="","",[81]Informationen!C$12)</f>
        <v>Thüga Aktiengesellschaft</v>
      </c>
      <c r="C316" s="27">
        <v>10</v>
      </c>
      <c r="D316" s="8" t="s">
        <v>4</v>
      </c>
      <c r="E316" s="6" t="s">
        <v>34</v>
      </c>
      <c r="F316" s="9" t="s">
        <v>35</v>
      </c>
      <c r="G316" s="9" t="s">
        <v>36</v>
      </c>
    </row>
    <row r="317" spans="1:7" ht="135" x14ac:dyDescent="0.25">
      <c r="A317" s="4" t="str">
        <f>IF(D317="","",IF([81]Informationen!D$13="","Keine Rolle angegeben",[81]Informationen!D$13))</f>
        <v>Keine Rolle angegeben</v>
      </c>
      <c r="B317" s="15" t="str">
        <f>IF(A317="","",[81]Informationen!C$12)</f>
        <v>Thüga Aktiengesellschaft</v>
      </c>
      <c r="C317" s="27">
        <v>11</v>
      </c>
      <c r="D317" s="8" t="s">
        <v>4</v>
      </c>
      <c r="E317" s="6" t="s">
        <v>37</v>
      </c>
      <c r="F317" s="9" t="s">
        <v>38</v>
      </c>
      <c r="G317" s="9" t="s">
        <v>39</v>
      </c>
    </row>
    <row r="318" spans="1:7" ht="45" x14ac:dyDescent="0.25">
      <c r="A318" s="4" t="str">
        <f>IF(D318="","",IF([81]Informationen!D$13="","Keine Rolle angegeben",[81]Informationen!D$13))</f>
        <v>Keine Rolle angegeben</v>
      </c>
      <c r="B318" s="15" t="str">
        <f>IF(A318="","",[81]Informationen!C$12)</f>
        <v>Thüga Aktiengesellschaft</v>
      </c>
      <c r="C318" s="27">
        <v>12</v>
      </c>
      <c r="D318" s="8" t="s">
        <v>4</v>
      </c>
      <c r="E318" s="6" t="s">
        <v>40</v>
      </c>
      <c r="F318" s="9"/>
      <c r="G318" s="9" t="s">
        <v>104</v>
      </c>
    </row>
    <row r="319" spans="1:7" ht="60" x14ac:dyDescent="0.25">
      <c r="A319" s="4" t="str">
        <f>IF(D319="","",IF([81]Informationen!D$13="","Keine Rolle angegeben",[81]Informationen!D$13))</f>
        <v>Keine Rolle angegeben</v>
      </c>
      <c r="B319" s="15" t="str">
        <f>IF(A319="","",[81]Informationen!C$12)</f>
        <v>Thüga Aktiengesellschaft</v>
      </c>
      <c r="C319" s="27">
        <v>13</v>
      </c>
      <c r="D319" s="8" t="s">
        <v>4</v>
      </c>
      <c r="E319" s="6" t="s">
        <v>42</v>
      </c>
      <c r="F319" s="9" t="s">
        <v>43</v>
      </c>
      <c r="G319" s="9"/>
    </row>
    <row r="320" spans="1:7" ht="45" x14ac:dyDescent="0.25">
      <c r="A320" s="4" t="str">
        <f>IF(D320="","",IF([81]Informationen!D$13="","Keine Rolle angegeben",[81]Informationen!D$13))</f>
        <v>Keine Rolle angegeben</v>
      </c>
      <c r="B320" s="15" t="str">
        <f>IF(A320="","",[81]Informationen!C$12)</f>
        <v>Thüga Aktiengesellschaft</v>
      </c>
      <c r="C320" s="27">
        <v>14</v>
      </c>
      <c r="D320" s="8" t="s">
        <v>4</v>
      </c>
      <c r="E320" s="6" t="s">
        <v>44</v>
      </c>
      <c r="F320" s="9" t="s">
        <v>43</v>
      </c>
      <c r="G320" s="9"/>
    </row>
    <row r="321" spans="1:7" ht="30" x14ac:dyDescent="0.25">
      <c r="A321" s="4" t="str">
        <f>IF(D321="","",IF([81]Informationen!D$13="","Keine Rolle angegeben",[81]Informationen!D$13))</f>
        <v>Keine Rolle angegeben</v>
      </c>
      <c r="B321" s="15" t="str">
        <f>IF(A321="","",[81]Informationen!C$12)</f>
        <v>Thüga Aktiengesellschaft</v>
      </c>
      <c r="C321" s="27">
        <v>15</v>
      </c>
      <c r="D321" s="8" t="s">
        <v>4</v>
      </c>
      <c r="E321" s="6" t="s">
        <v>8</v>
      </c>
      <c r="F321" s="9" t="s">
        <v>43</v>
      </c>
      <c r="G321" s="9"/>
    </row>
    <row r="322" spans="1:7" ht="135" x14ac:dyDescent="0.25">
      <c r="A322" s="4" t="str">
        <f>IF(D322="","",IF([81]Informationen!D$13="","Keine Rolle angegeben",[81]Informationen!D$13))</f>
        <v>Keine Rolle angegeben</v>
      </c>
      <c r="B322" s="15" t="str">
        <f>IF(A322="","",[81]Informationen!C$12)</f>
        <v>Thüga Aktiengesellschaft</v>
      </c>
      <c r="C322" s="27">
        <v>16</v>
      </c>
      <c r="D322" s="8" t="s">
        <v>45</v>
      </c>
      <c r="E322" s="6"/>
      <c r="F322" s="9" t="s">
        <v>46</v>
      </c>
      <c r="G322" s="9" t="s">
        <v>47</v>
      </c>
    </row>
    <row r="323" spans="1:7" ht="135" x14ac:dyDescent="0.25">
      <c r="A323" s="4" t="str">
        <f>IF(D323="","",IF([81]Informationen!D$13="","Keine Rolle angegeben",[81]Informationen!D$13))</f>
        <v>Keine Rolle angegeben</v>
      </c>
      <c r="B323" s="15" t="str">
        <f>IF(A323="","",[81]Informationen!C$12)</f>
        <v>Thüga Aktiengesellschaft</v>
      </c>
      <c r="C323" s="27">
        <v>17</v>
      </c>
      <c r="D323" s="8" t="s">
        <v>45</v>
      </c>
      <c r="E323" s="6"/>
      <c r="F323" s="9" t="s">
        <v>46</v>
      </c>
      <c r="G323" s="9" t="s">
        <v>48</v>
      </c>
    </row>
    <row r="324" spans="1:7" ht="75" x14ac:dyDescent="0.25">
      <c r="A324" s="4" t="str">
        <f>IF(D324="","",IF([82]Informationen!D$13="","Keine Rolle angegeben",[82]Informationen!D$13))</f>
        <v>VNB</v>
      </c>
      <c r="B324" s="15" t="str">
        <f>IF(A324="","",[82]Informationen!C$12)</f>
        <v>Thüga Energienetze GmbH</v>
      </c>
      <c r="C324" s="27">
        <v>1</v>
      </c>
      <c r="D324" s="8" t="s">
        <v>0</v>
      </c>
      <c r="E324" s="6" t="s">
        <v>22</v>
      </c>
      <c r="F324" s="9" t="s">
        <v>23</v>
      </c>
      <c r="G324" s="9" t="s">
        <v>105</v>
      </c>
    </row>
    <row r="325" spans="1:7" ht="195" x14ac:dyDescent="0.25">
      <c r="A325" s="4" t="str">
        <f>IF(D325="","",IF([82]Informationen!D$13="","Keine Rolle angegeben",[82]Informationen!D$13))</f>
        <v>VNB</v>
      </c>
      <c r="B325" s="15" t="str">
        <f>IF(A325="","",[82]Informationen!C$12)</f>
        <v>Thüga Energienetze GmbH</v>
      </c>
      <c r="C325" s="27">
        <v>2</v>
      </c>
      <c r="D325" s="8" t="s">
        <v>0</v>
      </c>
      <c r="E325" s="6" t="s">
        <v>25</v>
      </c>
      <c r="F325" s="9" t="s">
        <v>26</v>
      </c>
      <c r="G325" s="9" t="s">
        <v>106</v>
      </c>
    </row>
    <row r="326" spans="1:7" ht="150" x14ac:dyDescent="0.25">
      <c r="A326" s="4" t="str">
        <f>IF(D326="","",IF([82]Informationen!D$13="","Keine Rolle angegeben",[82]Informationen!D$13))</f>
        <v>VNB</v>
      </c>
      <c r="B326" s="15" t="str">
        <f>IF(A326="","",[82]Informationen!C$12)</f>
        <v>Thüga Energienetze GmbH</v>
      </c>
      <c r="C326" s="27">
        <v>3</v>
      </c>
      <c r="D326" s="8" t="s">
        <v>4</v>
      </c>
      <c r="E326" s="6" t="s">
        <v>34</v>
      </c>
      <c r="F326" s="9" t="s">
        <v>35</v>
      </c>
      <c r="G326" s="9" t="s">
        <v>107</v>
      </c>
    </row>
    <row r="327" spans="1:7" ht="105" x14ac:dyDescent="0.25">
      <c r="A327" s="4" t="str">
        <f>IF(D327="","",IF([82]Informationen!D$13="","Keine Rolle angegeben",[82]Informationen!D$13))</f>
        <v>VNB</v>
      </c>
      <c r="B327" s="15" t="str">
        <f>IF(A327="","",[82]Informationen!C$12)</f>
        <v>Thüga Energienetze GmbH</v>
      </c>
      <c r="C327" s="27">
        <v>4</v>
      </c>
      <c r="D327" s="8" t="s">
        <v>4</v>
      </c>
      <c r="E327" s="6" t="s">
        <v>108</v>
      </c>
      <c r="F327" s="9"/>
      <c r="G327" s="9" t="s">
        <v>109</v>
      </c>
    </row>
    <row r="328" spans="1:7" ht="375" x14ac:dyDescent="0.25">
      <c r="A328" s="4" t="str">
        <f>IF(D328="","",IF([83]Informationen!D$13="","Keine Rolle angegeben",[83]Informationen!D$13))</f>
        <v>VNB</v>
      </c>
      <c r="B328" s="15" t="str">
        <f>IF(A328="","",[83]Informationen!C$12)</f>
        <v>ÜZ Mainfranken eG</v>
      </c>
      <c r="C328" s="27">
        <v>1</v>
      </c>
      <c r="D328" s="8" t="s">
        <v>0</v>
      </c>
      <c r="E328" s="6" t="s">
        <v>1</v>
      </c>
      <c r="F328" s="9" t="s">
        <v>2</v>
      </c>
      <c r="G328" s="9" t="s">
        <v>3</v>
      </c>
    </row>
    <row r="329" spans="1:7" ht="150" x14ac:dyDescent="0.25">
      <c r="A329" s="4" t="str">
        <f>IF(D329="","",IF([83]Informationen!D$13="","Keine Rolle angegeben",[83]Informationen!D$13))</f>
        <v>VNB</v>
      </c>
      <c r="B329" s="15" t="str">
        <f>IF(A329="","",[83]Informationen!C$12)</f>
        <v>ÜZ Mainfranken eG</v>
      </c>
      <c r="C329" s="27">
        <v>2</v>
      </c>
      <c r="D329" s="8" t="s">
        <v>4</v>
      </c>
      <c r="E329" s="6" t="s">
        <v>5</v>
      </c>
      <c r="F329" s="9" t="s">
        <v>6</v>
      </c>
      <c r="G329" s="9" t="s">
        <v>7</v>
      </c>
    </row>
    <row r="330" spans="1:7" ht="150" x14ac:dyDescent="0.25">
      <c r="A330" s="4" t="str">
        <f>IF(D330="","",IF([84]Informationen!D$13="","Keine Rolle angegeben",[84]Informationen!D$13))</f>
        <v>Verband</v>
      </c>
      <c r="B330" s="15" t="str">
        <f>IF(A330="","",[84]Informationen!C$12)</f>
        <v>Verband kommunaler Unternehmen e.V.</v>
      </c>
      <c r="C330" s="27">
        <v>1</v>
      </c>
      <c r="D330" s="8" t="s">
        <v>0</v>
      </c>
      <c r="E330" s="1" t="s">
        <v>49</v>
      </c>
      <c r="F330" s="5" t="s">
        <v>157</v>
      </c>
      <c r="G330" s="5" t="s">
        <v>158</v>
      </c>
    </row>
    <row r="331" spans="1:7" ht="45" x14ac:dyDescent="0.25">
      <c r="A331" s="4" t="str">
        <f>IF(D331="","",IF([84]Informationen!D$13="","Keine Rolle angegeben",[84]Informationen!D$13))</f>
        <v>Verband</v>
      </c>
      <c r="B331" s="15" t="str">
        <f>IF(A331="","",[84]Informationen!C$12)</f>
        <v>Verband kommunaler Unternehmen e.V.</v>
      </c>
      <c r="C331" s="27">
        <v>2</v>
      </c>
      <c r="D331" s="8" t="s">
        <v>0</v>
      </c>
      <c r="E331" s="1" t="s">
        <v>138</v>
      </c>
      <c r="F331" s="5" t="s">
        <v>139</v>
      </c>
      <c r="G331" s="5" t="s">
        <v>140</v>
      </c>
    </row>
    <row r="332" spans="1:7" ht="60" x14ac:dyDescent="0.25">
      <c r="A332" s="4" t="str">
        <f>IF(D332="","",IF([84]Informationen!D$13="","Keine Rolle angegeben",[84]Informationen!D$13))</f>
        <v>Verband</v>
      </c>
      <c r="B332" s="15" t="str">
        <f>IF(A332="","",[84]Informationen!C$12)</f>
        <v>Verband kommunaler Unternehmen e.V.</v>
      </c>
      <c r="C332" s="27">
        <v>3</v>
      </c>
      <c r="D332" s="8" t="s">
        <v>0</v>
      </c>
      <c r="E332" s="1" t="s">
        <v>141</v>
      </c>
      <c r="F332" s="9" t="s">
        <v>142</v>
      </c>
      <c r="G332" s="9" t="s">
        <v>143</v>
      </c>
    </row>
    <row r="333" spans="1:7" ht="120" x14ac:dyDescent="0.25">
      <c r="A333" s="4" t="str">
        <f>IF(D333="","",IF([84]Informationen!D$13="","Keine Rolle angegeben",[84]Informationen!D$13))</f>
        <v>Verband</v>
      </c>
      <c r="B333" s="15" t="str">
        <f>IF(A333="","",[84]Informationen!C$12)</f>
        <v>Verband kommunaler Unternehmen e.V.</v>
      </c>
      <c r="C333" s="27">
        <v>4</v>
      </c>
      <c r="D333" s="8" t="s">
        <v>4</v>
      </c>
      <c r="E333" s="1" t="s">
        <v>144</v>
      </c>
      <c r="F333" s="5" t="s">
        <v>159</v>
      </c>
      <c r="G333" s="5" t="s">
        <v>146</v>
      </c>
    </row>
    <row r="334" spans="1:7" ht="409.5" x14ac:dyDescent="0.25">
      <c r="A334" s="4" t="str">
        <f>IF(D334="","",IF([84]Informationen!D$13="","Keine Rolle angegeben",[84]Informationen!D$13))</f>
        <v>Verband</v>
      </c>
      <c r="B334" s="15" t="str">
        <f>IF(A334="","",[84]Informationen!C$12)</f>
        <v>Verband kommunaler Unternehmen e.V.</v>
      </c>
      <c r="C334" s="27">
        <v>5</v>
      </c>
      <c r="D334" s="8" t="s">
        <v>4</v>
      </c>
      <c r="E334" s="1" t="s">
        <v>40</v>
      </c>
      <c r="F334" s="5" t="s">
        <v>160</v>
      </c>
      <c r="G334" s="5" t="s">
        <v>276</v>
      </c>
    </row>
    <row r="335" spans="1:7" ht="409.5" x14ac:dyDescent="0.25">
      <c r="A335" s="4" t="str">
        <f>IF(D335="","",IF([84]Informationen!D$13="","Keine Rolle angegeben",[84]Informationen!D$13))</f>
        <v>Verband</v>
      </c>
      <c r="B335" s="15" t="str">
        <f>IF(A335="","",[84]Informationen!C$12)</f>
        <v>Verband kommunaler Unternehmen e.V.</v>
      </c>
      <c r="C335" s="27">
        <v>6</v>
      </c>
      <c r="D335" s="8" t="s">
        <v>45</v>
      </c>
      <c r="E335" s="1"/>
      <c r="F335" s="5" t="s">
        <v>149</v>
      </c>
      <c r="G335" s="5" t="s">
        <v>150</v>
      </c>
    </row>
    <row r="336" spans="1:7" ht="60" x14ac:dyDescent="0.25">
      <c r="A336" s="4" t="str">
        <f>IF(D336="","",IF([84]Informationen!D$13="","Keine Rolle angegeben",[84]Informationen!D$13))</f>
        <v>Verband</v>
      </c>
      <c r="B336" s="15" t="str">
        <f>IF(A336="","",[84]Informationen!C$12)</f>
        <v>Verband kommunaler Unternehmen e.V.</v>
      </c>
      <c r="C336" s="27">
        <v>7</v>
      </c>
      <c r="D336" s="8" t="s">
        <v>45</v>
      </c>
      <c r="E336" s="1"/>
      <c r="F336" s="5" t="s">
        <v>151</v>
      </c>
      <c r="G336" s="5" t="s">
        <v>152</v>
      </c>
    </row>
    <row r="337" spans="1:7" ht="90" x14ac:dyDescent="0.25">
      <c r="A337" s="4" t="str">
        <f>IF(D337="","",IF([84]Informationen!D$13="","Keine Rolle angegeben",[84]Informationen!D$13))</f>
        <v>Verband</v>
      </c>
      <c r="B337" s="15" t="str">
        <f>IF(A337="","",[84]Informationen!C$12)</f>
        <v>Verband kommunaler Unternehmen e.V.</v>
      </c>
      <c r="C337" s="27">
        <v>8</v>
      </c>
      <c r="D337" s="8" t="s">
        <v>45</v>
      </c>
      <c r="E337" s="6"/>
      <c r="F337" s="9" t="s">
        <v>153</v>
      </c>
      <c r="G337" s="9" t="s">
        <v>154</v>
      </c>
    </row>
    <row r="338" spans="1:7" ht="60" x14ac:dyDescent="0.25">
      <c r="A338" s="4" t="str">
        <f>IF(D338="","",IF([84]Informationen!D$13="","Keine Rolle angegeben",[84]Informationen!D$13))</f>
        <v>Verband</v>
      </c>
      <c r="B338" s="15" t="str">
        <f>IF(A338="","",[84]Informationen!C$12)</f>
        <v>Verband kommunaler Unternehmen e.V.</v>
      </c>
      <c r="C338" s="27">
        <v>9</v>
      </c>
      <c r="D338" s="8" t="s">
        <v>45</v>
      </c>
      <c r="E338" s="6"/>
      <c r="F338" s="9" t="s">
        <v>155</v>
      </c>
      <c r="G338" s="9" t="s">
        <v>156</v>
      </c>
    </row>
    <row r="339" spans="1:7" ht="375" x14ac:dyDescent="0.25">
      <c r="A339" s="4" t="str">
        <f>IF(D339="","",IF([85]Informationen!D$13="","Keine Rolle angegeben",[85]Informationen!D$13))</f>
        <v>VNB</v>
      </c>
      <c r="B339" s="15" t="str">
        <f>IF(A339="","",[85]Informationen!C$12)</f>
        <v>Vereinigte Stadtwerke Netz GmbH</v>
      </c>
      <c r="C339" s="27">
        <v>1</v>
      </c>
      <c r="D339" s="8" t="s">
        <v>0</v>
      </c>
      <c r="E339" s="6" t="s">
        <v>1</v>
      </c>
      <c r="F339" s="9" t="s">
        <v>2</v>
      </c>
      <c r="G339" s="9" t="s">
        <v>3</v>
      </c>
    </row>
    <row r="340" spans="1:7" ht="150" x14ac:dyDescent="0.25">
      <c r="A340" s="4" t="str">
        <f>IF(D340="","",IF([85]Informationen!D$13="","Keine Rolle angegeben",[85]Informationen!D$13))</f>
        <v>VNB</v>
      </c>
      <c r="B340" s="15" t="str">
        <f>IF(A340="","",[85]Informationen!C$12)</f>
        <v>Vereinigte Stadtwerke Netz GmbH</v>
      </c>
      <c r="C340" s="27">
        <v>2</v>
      </c>
      <c r="D340" s="8" t="s">
        <v>4</v>
      </c>
      <c r="E340" s="6" t="s">
        <v>5</v>
      </c>
      <c r="F340" s="9" t="s">
        <v>6</v>
      </c>
      <c r="G340" s="9" t="s">
        <v>7</v>
      </c>
    </row>
    <row r="341" spans="1:7" ht="409.5" x14ac:dyDescent="0.25">
      <c r="A341" s="4" t="str">
        <f>IF(D341="","",IF([86]Informationen!D$13="","Keine Rolle angegeben",[86]Informationen!D$13))</f>
        <v>VNB</v>
      </c>
      <c r="B341" s="15" t="str">
        <f>IF(A341="","",[86]Informationen!C$12)</f>
        <v>Vereinigte Wertach-Elektrizitätswerke GmbH</v>
      </c>
      <c r="C341" s="27">
        <v>1</v>
      </c>
      <c r="D341" s="8" t="s">
        <v>0</v>
      </c>
      <c r="E341" s="6" t="s">
        <v>211</v>
      </c>
      <c r="F341" s="9" t="s">
        <v>212</v>
      </c>
      <c r="G341" s="9" t="s">
        <v>213</v>
      </c>
    </row>
    <row r="342" spans="1:7" ht="405" x14ac:dyDescent="0.25">
      <c r="A342" s="4" t="str">
        <f>IF(D342="","",IF([86]Informationen!D$13="","Keine Rolle angegeben",[86]Informationen!D$13))</f>
        <v>VNB</v>
      </c>
      <c r="B342" s="15" t="str">
        <f>IF(A342="","",[86]Informationen!C$12)</f>
        <v>Vereinigte Wertach-Elektrizitätswerke GmbH</v>
      </c>
      <c r="C342" s="27">
        <v>2</v>
      </c>
      <c r="D342" s="8" t="s">
        <v>4</v>
      </c>
      <c r="E342" s="6" t="s">
        <v>214</v>
      </c>
      <c r="F342" s="9" t="s">
        <v>215</v>
      </c>
      <c r="G342" s="9" t="s">
        <v>216</v>
      </c>
    </row>
    <row r="343" spans="1:7" ht="375" x14ac:dyDescent="0.25">
      <c r="A343" s="4" t="str">
        <f>IF(D343="","",IF([87]Informationen!D$13="","Keine Rolle angegeben",[87]Informationen!D$13))</f>
        <v>VNB</v>
      </c>
      <c r="B343" s="15" t="str">
        <f>IF(A343="","",[87]Informationen!C$12)</f>
        <v>Weißachtal-Kraftwerke eG</v>
      </c>
      <c r="C343" s="27">
        <v>1</v>
      </c>
      <c r="D343" s="8" t="s">
        <v>0</v>
      </c>
      <c r="E343" s="6" t="s">
        <v>1</v>
      </c>
      <c r="F343" s="9" t="s">
        <v>2</v>
      </c>
      <c r="G343" s="9" t="s">
        <v>3</v>
      </c>
    </row>
    <row r="344" spans="1:7" ht="150" x14ac:dyDescent="0.25">
      <c r="A344" s="4" t="str">
        <f>IF(D344="","",IF([87]Informationen!D$13="","Keine Rolle angegeben",[87]Informationen!D$13))</f>
        <v>VNB</v>
      </c>
      <c r="B344" s="15" t="str">
        <f>IF(A344="","",[87]Informationen!C$12)</f>
        <v>Weißachtal-Kraftwerke eG</v>
      </c>
      <c r="C344" s="27">
        <v>2</v>
      </c>
      <c r="D344" s="8" t="s">
        <v>4</v>
      </c>
      <c r="E344" s="6" t="s">
        <v>5</v>
      </c>
      <c r="F344" s="9" t="s">
        <v>6</v>
      </c>
      <c r="G344" s="9" t="s">
        <v>7</v>
      </c>
    </row>
    <row r="345" spans="1:7" ht="30" x14ac:dyDescent="0.25">
      <c r="A345" s="10" t="str">
        <f>IF(D345="","",IF([88]Informationen!D$13="","Keine Rolle angegeben",[88]Informationen!D$13))</f>
        <v>VNB</v>
      </c>
      <c r="B345" s="25" t="str">
        <f>IF(A345="","",[88]Informationen!C$12)</f>
        <v>WEMAG Netz GmbH</v>
      </c>
      <c r="C345" s="28">
        <v>1</v>
      </c>
      <c r="D345" s="11" t="s">
        <v>45</v>
      </c>
      <c r="E345" s="1"/>
      <c r="F345" s="5" t="s">
        <v>185</v>
      </c>
      <c r="G345" s="5"/>
    </row>
    <row r="346" spans="1:7" ht="45" x14ac:dyDescent="0.25">
      <c r="A346" s="10" t="str">
        <f>IF(D346="","",IF([88]Informationen!D$13="","Keine Rolle angegeben",[88]Informationen!D$13))</f>
        <v>VNB</v>
      </c>
      <c r="B346" s="25" t="str">
        <f>IF(A346="","",[88]Informationen!C$12)</f>
        <v>WEMAG Netz GmbH</v>
      </c>
      <c r="C346" s="28">
        <v>2</v>
      </c>
      <c r="D346" s="11" t="s">
        <v>0</v>
      </c>
      <c r="E346" s="1" t="s">
        <v>138</v>
      </c>
      <c r="F346" s="5" t="s">
        <v>139</v>
      </c>
      <c r="G346" s="5" t="s">
        <v>140</v>
      </c>
    </row>
    <row r="347" spans="1:7" ht="60" x14ac:dyDescent="0.25">
      <c r="A347" s="10" t="str">
        <f>IF(D347="","",IF([88]Informationen!D$13="","Keine Rolle angegeben",[88]Informationen!D$13))</f>
        <v>VNB</v>
      </c>
      <c r="B347" s="25" t="str">
        <f>IF(A347="","",[88]Informationen!C$12)</f>
        <v>WEMAG Netz GmbH</v>
      </c>
      <c r="C347" s="28">
        <v>3</v>
      </c>
      <c r="D347" s="11" t="s">
        <v>0</v>
      </c>
      <c r="E347" s="1" t="s">
        <v>141</v>
      </c>
      <c r="F347" s="5" t="s">
        <v>142</v>
      </c>
      <c r="G347" s="5" t="s">
        <v>143</v>
      </c>
    </row>
    <row r="348" spans="1:7" ht="120" x14ac:dyDescent="0.25">
      <c r="A348" s="10" t="str">
        <f>IF(D348="","",IF([88]Informationen!D$13="","Keine Rolle angegeben",[88]Informationen!D$13))</f>
        <v>VNB</v>
      </c>
      <c r="B348" s="25" t="str">
        <f>IF(A348="","",[88]Informationen!C$12)</f>
        <v>WEMAG Netz GmbH</v>
      </c>
      <c r="C348" s="28">
        <v>4</v>
      </c>
      <c r="D348" s="11" t="s">
        <v>0</v>
      </c>
      <c r="E348" s="1" t="s">
        <v>144</v>
      </c>
      <c r="F348" s="5" t="s">
        <v>186</v>
      </c>
      <c r="G348" s="5" t="s">
        <v>187</v>
      </c>
    </row>
    <row r="349" spans="1:7" ht="409.5" x14ac:dyDescent="0.25">
      <c r="A349" s="10" t="str">
        <f>IF(D349="","",IF([88]Informationen!D$13="","Keine Rolle angegeben",[88]Informationen!D$13))</f>
        <v>VNB</v>
      </c>
      <c r="B349" s="25" t="str">
        <f>IF(A349="","",[88]Informationen!C$12)</f>
        <v>WEMAG Netz GmbH</v>
      </c>
      <c r="C349" s="28">
        <v>5</v>
      </c>
      <c r="D349" s="11" t="s">
        <v>0</v>
      </c>
      <c r="E349" s="1" t="s">
        <v>40</v>
      </c>
      <c r="F349" s="5" t="s">
        <v>160</v>
      </c>
      <c r="G349" s="5" t="s">
        <v>161</v>
      </c>
    </row>
    <row r="350" spans="1:7" ht="60" x14ac:dyDescent="0.25">
      <c r="A350" s="10" t="str">
        <f>IF(D350="","",IF([88]Informationen!D$13="","Keine Rolle angegeben",[88]Informationen!D$13))</f>
        <v>VNB</v>
      </c>
      <c r="B350" s="25" t="str">
        <f>IF(A350="","",[88]Informationen!C$12)</f>
        <v>WEMAG Netz GmbH</v>
      </c>
      <c r="C350" s="28">
        <v>6</v>
      </c>
      <c r="D350" s="11" t="s">
        <v>45</v>
      </c>
      <c r="E350" s="1"/>
      <c r="F350" s="5" t="s">
        <v>188</v>
      </c>
      <c r="G350" s="5" t="s">
        <v>152</v>
      </c>
    </row>
    <row r="351" spans="1:7" ht="60" x14ac:dyDescent="0.25">
      <c r="A351" s="10" t="str">
        <f>IF(D351="","",IF([88]Informationen!D$13="","Keine Rolle angegeben",[88]Informationen!D$13))</f>
        <v>VNB</v>
      </c>
      <c r="B351" s="25" t="str">
        <f>IF(A351="","",[88]Informationen!C$12)</f>
        <v>WEMAG Netz GmbH</v>
      </c>
      <c r="C351" s="28">
        <v>7</v>
      </c>
      <c r="D351" s="11" t="s">
        <v>45</v>
      </c>
      <c r="E351" s="1"/>
      <c r="F351" s="5" t="s">
        <v>155</v>
      </c>
      <c r="G351" s="5" t="s">
        <v>156</v>
      </c>
    </row>
    <row r="352" spans="1:7" ht="60" x14ac:dyDescent="0.25">
      <c r="A352" s="4" t="str">
        <f>IF(D352="","",IF([89]Informationen!D$13="","Keine Rolle angegeben",[89]Informationen!D$13))</f>
        <v>VNB</v>
      </c>
      <c r="B352" s="15" t="str">
        <f>IF(A352="","",[89]Informationen!C$12)</f>
        <v>Westnetz GmbH</v>
      </c>
      <c r="C352" s="27">
        <v>1</v>
      </c>
      <c r="D352" s="8" t="s">
        <v>0</v>
      </c>
      <c r="E352" s="6" t="s">
        <v>49</v>
      </c>
      <c r="F352" s="9" t="s">
        <v>50</v>
      </c>
      <c r="G352" s="9" t="s">
        <v>51</v>
      </c>
    </row>
    <row r="353" spans="1:7" ht="60" x14ac:dyDescent="0.25">
      <c r="A353" s="4" t="str">
        <f>IF(D353="","",IF([89]Informationen!D$13="","Keine Rolle angegeben",[89]Informationen!D$13))</f>
        <v>VNB</v>
      </c>
      <c r="B353" s="15" t="str">
        <f>IF(A353="","",[89]Informationen!C$12)</f>
        <v>Westnetz GmbH</v>
      </c>
      <c r="C353" s="27">
        <v>2</v>
      </c>
      <c r="D353" s="8" t="s">
        <v>4</v>
      </c>
      <c r="E353" s="6" t="s">
        <v>52</v>
      </c>
      <c r="F353" s="9"/>
      <c r="G353" s="9" t="s">
        <v>53</v>
      </c>
    </row>
    <row r="354" spans="1:7" ht="45" x14ac:dyDescent="0.25">
      <c r="A354" s="4" t="str">
        <f>IF(D354="","",IF([89]Informationen!D$13="","Keine Rolle angegeben",[89]Informationen!D$13))</f>
        <v>VNB</v>
      </c>
      <c r="B354" s="15" t="str">
        <f>IF(A354="","",[89]Informationen!C$12)</f>
        <v>Westnetz GmbH</v>
      </c>
      <c r="C354" s="27">
        <v>3</v>
      </c>
      <c r="D354" s="8" t="s">
        <v>4</v>
      </c>
      <c r="E354" s="6" t="s">
        <v>37</v>
      </c>
      <c r="F354" s="9" t="s">
        <v>54</v>
      </c>
      <c r="G354" s="9" t="s">
        <v>55</v>
      </c>
    </row>
    <row r="355" spans="1:7" ht="75" x14ac:dyDescent="0.25">
      <c r="A355" s="4" t="str">
        <f>IF(D355="","",IF([89]Informationen!D$13="","Keine Rolle angegeben",[89]Informationen!D$13))</f>
        <v>VNB</v>
      </c>
      <c r="B355" s="15" t="str">
        <f>IF(A355="","",[89]Informationen!C$12)</f>
        <v>Westnetz GmbH</v>
      </c>
      <c r="C355" s="27">
        <v>4</v>
      </c>
      <c r="D355" s="8" t="s">
        <v>4</v>
      </c>
      <c r="E355" s="6" t="s">
        <v>56</v>
      </c>
      <c r="F355" s="9" t="s">
        <v>57</v>
      </c>
      <c r="G355" s="9" t="s">
        <v>58</v>
      </c>
    </row>
    <row r="356" spans="1:7" ht="270" x14ac:dyDescent="0.25">
      <c r="A356" s="4" t="str">
        <f>IF(D356="","",IF([89]Informationen!D$13="","Keine Rolle angegeben",[89]Informationen!D$13))</f>
        <v>VNB</v>
      </c>
      <c r="B356" s="15" t="str">
        <f>IF(A356="","",[89]Informationen!C$12)</f>
        <v>Westnetz GmbH</v>
      </c>
      <c r="C356" s="27">
        <v>5</v>
      </c>
      <c r="D356" s="8" t="s">
        <v>10</v>
      </c>
      <c r="E356" s="6" t="s">
        <v>59</v>
      </c>
      <c r="F356" s="9" t="s">
        <v>60</v>
      </c>
      <c r="G356" s="9" t="s">
        <v>61</v>
      </c>
    </row>
    <row r="357" spans="1:7" ht="45" x14ac:dyDescent="0.25">
      <c r="A357" s="4" t="str">
        <f>IF(D357="","",IF([89]Informationen!D$13="","Keine Rolle angegeben",[89]Informationen!D$13))</f>
        <v>VNB</v>
      </c>
      <c r="B357" s="15" t="str">
        <f>IF(A357="","",[89]Informationen!C$12)</f>
        <v>Westnetz GmbH</v>
      </c>
      <c r="C357" s="27">
        <v>6</v>
      </c>
      <c r="D357" s="8" t="s">
        <v>31</v>
      </c>
      <c r="E357" s="6" t="s">
        <v>59</v>
      </c>
      <c r="F357" s="9" t="s">
        <v>62</v>
      </c>
      <c r="G357" s="9" t="s">
        <v>63</v>
      </c>
    </row>
    <row r="358" spans="1:7" ht="409.5" x14ac:dyDescent="0.25">
      <c r="A358" s="4" t="str">
        <f>IF(D358="","",IF([89]Informationen!D$13="","Keine Rolle angegeben",[89]Informationen!D$13))</f>
        <v>VNB</v>
      </c>
      <c r="B358" s="15" t="str">
        <f>IF(A358="","",[89]Informationen!C$12)</f>
        <v>Westnetz GmbH</v>
      </c>
      <c r="C358" s="27">
        <v>7</v>
      </c>
      <c r="D358" s="8" t="s">
        <v>4</v>
      </c>
      <c r="E358" s="6" t="s">
        <v>64</v>
      </c>
      <c r="F358" s="9"/>
      <c r="G358" s="9" t="s">
        <v>65</v>
      </c>
    </row>
    <row r="359" spans="1:7" ht="409.5" x14ac:dyDescent="0.25">
      <c r="A359" s="4" t="str">
        <f>IF(D359="","",IF([89]Informationen!D$13="","Keine Rolle angegeben",[89]Informationen!D$13))</f>
        <v>VNB</v>
      </c>
      <c r="B359" s="15" t="str">
        <f>IF(A359="","",[89]Informationen!C$12)</f>
        <v>Westnetz GmbH</v>
      </c>
      <c r="C359" s="27">
        <v>8</v>
      </c>
      <c r="D359" s="8" t="s">
        <v>4</v>
      </c>
      <c r="E359" s="6" t="s">
        <v>8</v>
      </c>
      <c r="F359" s="9" t="s">
        <v>66</v>
      </c>
      <c r="G359" s="9" t="s">
        <v>67</v>
      </c>
    </row>
    <row r="360" spans="1:7" ht="375" x14ac:dyDescent="0.25">
      <c r="A360" s="4" t="str">
        <f>IF(D360="","",IF([90]Informationen!D$13="","Keine Rolle angegeben",[90]Informationen!D$13))</f>
        <v>VNB</v>
      </c>
      <c r="B360" s="15" t="s">
        <v>288</v>
      </c>
      <c r="C360" s="27">
        <v>1</v>
      </c>
      <c r="D360" s="8" t="s">
        <v>0</v>
      </c>
      <c r="E360" s="6" t="s">
        <v>1</v>
      </c>
      <c r="F360" s="9" t="s">
        <v>2</v>
      </c>
      <c r="G360" s="9" t="s">
        <v>3</v>
      </c>
    </row>
    <row r="361" spans="1:7" ht="150" x14ac:dyDescent="0.25">
      <c r="A361" s="4" t="str">
        <f>IF(D361="","",IF([90]Informationen!D$13="","Keine Rolle angegeben",[90]Informationen!D$13))</f>
        <v>VNB</v>
      </c>
      <c r="B361" s="15" t="s">
        <v>288</v>
      </c>
      <c r="C361" s="27">
        <v>2</v>
      </c>
      <c r="D361" s="8" t="s">
        <v>4</v>
      </c>
      <c r="E361" s="6" t="s">
        <v>5</v>
      </c>
      <c r="F361" s="9" t="s">
        <v>6</v>
      </c>
      <c r="G361" s="9" t="s">
        <v>7</v>
      </c>
    </row>
    <row r="362" spans="1:7" ht="75" x14ac:dyDescent="0.25">
      <c r="A362" s="4" t="str">
        <f>IF(D362="","",IF([91]Informationen!D$13="","Keine Rolle angegeben",[91]Informationen!D$13))</f>
        <v>VNB</v>
      </c>
      <c r="B362" s="15" t="str">
        <f>IF(A362="","",[91]Informationen!C$12)</f>
        <v>Zwickauer Energieversorgung GmbH</v>
      </c>
      <c r="C362" s="27">
        <v>1</v>
      </c>
      <c r="D362" s="8" t="s">
        <v>0</v>
      </c>
      <c r="E362" s="6" t="s">
        <v>68</v>
      </c>
      <c r="F362" s="9"/>
      <c r="G362" s="9"/>
    </row>
    <row r="363" spans="1:7" ht="75" x14ac:dyDescent="0.25">
      <c r="A363" s="4" t="str">
        <f>IF(D363="","",IF([91]Informationen!D$13="","Keine Rolle angegeben",[91]Informationen!D$13))</f>
        <v>VNB</v>
      </c>
      <c r="B363" s="15" t="str">
        <f>IF(A363="","",[91]Informationen!C$12)</f>
        <v>Zwickauer Energieversorgung GmbH</v>
      </c>
      <c r="C363" s="27">
        <v>2</v>
      </c>
      <c r="D363" s="8" t="s">
        <v>0</v>
      </c>
      <c r="E363" s="6" t="s">
        <v>22</v>
      </c>
      <c r="F363" s="9" t="s">
        <v>69</v>
      </c>
      <c r="G363" s="9" t="s">
        <v>24</v>
      </c>
    </row>
    <row r="364" spans="1:7" ht="120" x14ac:dyDescent="0.25">
      <c r="A364" s="4" t="str">
        <f>IF(D364="","",IF([91]Informationen!D$13="","Keine Rolle angegeben",[91]Informationen!D$13))</f>
        <v>VNB</v>
      </c>
      <c r="B364" s="15" t="str">
        <f>IF(A364="","",[91]Informationen!C$12)</f>
        <v>Zwickauer Energieversorgung GmbH</v>
      </c>
      <c r="C364" s="27">
        <v>3</v>
      </c>
      <c r="D364" s="8" t="s">
        <v>0</v>
      </c>
      <c r="E364" s="6" t="s">
        <v>70</v>
      </c>
      <c r="F364" s="9"/>
      <c r="G364" s="9"/>
    </row>
    <row r="365" spans="1:7" ht="409.5" x14ac:dyDescent="0.25">
      <c r="A365" s="4" t="str">
        <f>IF(D365="","",IF([91]Informationen!D$13="","Keine Rolle angegeben",[91]Informationen!D$13))</f>
        <v>VNB</v>
      </c>
      <c r="B365" s="15" t="str">
        <f>IF(A365="","",[91]Informationen!C$12)</f>
        <v>Zwickauer Energieversorgung GmbH</v>
      </c>
      <c r="C365" s="27">
        <v>4</v>
      </c>
      <c r="D365" s="8" t="s">
        <v>0</v>
      </c>
      <c r="E365" s="6" t="s">
        <v>25</v>
      </c>
      <c r="F365" s="9" t="s">
        <v>71</v>
      </c>
      <c r="G365" s="18" t="s">
        <v>72</v>
      </c>
    </row>
    <row r="366" spans="1:7" ht="120" x14ac:dyDescent="0.25">
      <c r="A366" s="4" t="str">
        <f>IF(D366="","",IF([91]Informationen!D$13="","Keine Rolle angegeben",[91]Informationen!D$13))</f>
        <v>VNB</v>
      </c>
      <c r="B366" s="15" t="str">
        <f>IF(A366="","",[91]Informationen!C$12)</f>
        <v>Zwickauer Energieversorgung GmbH</v>
      </c>
      <c r="C366" s="27">
        <v>5</v>
      </c>
      <c r="D366" s="8" t="s">
        <v>0</v>
      </c>
      <c r="E366" s="6" t="s">
        <v>28</v>
      </c>
      <c r="F366" s="9" t="s">
        <v>29</v>
      </c>
      <c r="G366" s="9" t="s">
        <v>30</v>
      </c>
    </row>
    <row r="367" spans="1:7" ht="60" x14ac:dyDescent="0.25">
      <c r="A367" s="4" t="str">
        <f>IF(D367="","",IF([91]Informationen!D$13="","Keine Rolle angegeben",[91]Informationen!D$13))</f>
        <v>VNB</v>
      </c>
      <c r="B367" s="15" t="str">
        <f>IF(A367="","",[91]Informationen!C$12)</f>
        <v>Zwickauer Energieversorgung GmbH</v>
      </c>
      <c r="C367" s="27">
        <v>6</v>
      </c>
      <c r="D367" s="8" t="s">
        <v>31</v>
      </c>
      <c r="E367" s="6" t="s">
        <v>73</v>
      </c>
      <c r="F367" s="9"/>
      <c r="G367" s="9"/>
    </row>
    <row r="368" spans="1:7" ht="105" x14ac:dyDescent="0.25">
      <c r="A368" s="4" t="str">
        <f>IF(D368="","",IF([91]Informationen!D$13="","Keine Rolle angegeben",[91]Informationen!D$13))</f>
        <v>VNB</v>
      </c>
      <c r="B368" s="15" t="str">
        <f>IF(A368="","",[91]Informationen!C$12)</f>
        <v>Zwickauer Energieversorgung GmbH</v>
      </c>
      <c r="C368" s="27">
        <v>7</v>
      </c>
      <c r="D368" s="8" t="s">
        <v>31</v>
      </c>
      <c r="E368" s="6" t="s">
        <v>74</v>
      </c>
      <c r="F368" s="9"/>
      <c r="G368" s="9"/>
    </row>
    <row r="369" spans="1:7" ht="90" x14ac:dyDescent="0.25">
      <c r="A369" s="4" t="str">
        <f>IF(D369="","",IF([91]Informationen!D$13="","Keine Rolle angegeben",[91]Informationen!D$13))</f>
        <v>VNB</v>
      </c>
      <c r="B369" s="15" t="str">
        <f>IF(A369="","",[91]Informationen!C$12)</f>
        <v>Zwickauer Energieversorgung GmbH</v>
      </c>
      <c r="C369" s="27">
        <v>8</v>
      </c>
      <c r="D369" s="8" t="s">
        <v>31</v>
      </c>
      <c r="E369" s="6" t="s">
        <v>75</v>
      </c>
      <c r="F369" s="9"/>
      <c r="G369" s="9" t="s">
        <v>76</v>
      </c>
    </row>
    <row r="370" spans="1:7" ht="105" x14ac:dyDescent="0.25">
      <c r="A370" s="4" t="str">
        <f>IF(D370="","",IF([91]Informationen!D$13="","Keine Rolle angegeben",[91]Informationen!D$13))</f>
        <v>VNB</v>
      </c>
      <c r="B370" s="15" t="str">
        <f>IF(A370="","",[91]Informationen!C$12)</f>
        <v>Zwickauer Energieversorgung GmbH</v>
      </c>
      <c r="C370" s="27">
        <v>9</v>
      </c>
      <c r="D370" s="8" t="s">
        <v>4</v>
      </c>
      <c r="E370" s="6" t="s">
        <v>77</v>
      </c>
      <c r="F370" s="9"/>
      <c r="G370" s="9"/>
    </row>
    <row r="371" spans="1:7" ht="150" x14ac:dyDescent="0.25">
      <c r="A371" s="4" t="str">
        <f>IF(D371="","",IF([91]Informationen!D$13="","Keine Rolle angegeben",[91]Informationen!D$13))</f>
        <v>VNB</v>
      </c>
      <c r="B371" s="15" t="str">
        <f>IF(A371="","",[91]Informationen!C$12)</f>
        <v>Zwickauer Energieversorgung GmbH</v>
      </c>
      <c r="C371" s="27">
        <v>10</v>
      </c>
      <c r="D371" s="8" t="s">
        <v>4</v>
      </c>
      <c r="E371" s="6" t="s">
        <v>34</v>
      </c>
      <c r="F371" s="9" t="s">
        <v>35</v>
      </c>
      <c r="G371" s="9" t="s">
        <v>78</v>
      </c>
    </row>
    <row r="372" spans="1:7" ht="135" x14ac:dyDescent="0.25">
      <c r="A372" s="4" t="str">
        <f>IF(D372="","",IF([91]Informationen!D$13="","Keine Rolle angegeben",[91]Informationen!D$13))</f>
        <v>VNB</v>
      </c>
      <c r="B372" s="15" t="str">
        <f>IF(A372="","",[91]Informationen!C$12)</f>
        <v>Zwickauer Energieversorgung GmbH</v>
      </c>
      <c r="C372" s="27">
        <v>11</v>
      </c>
      <c r="D372" s="8" t="s">
        <v>4</v>
      </c>
      <c r="E372" s="6" t="s">
        <v>37</v>
      </c>
      <c r="F372" s="9" t="s">
        <v>38</v>
      </c>
      <c r="G372" s="9" t="s">
        <v>79</v>
      </c>
    </row>
    <row r="373" spans="1:7" ht="45" x14ac:dyDescent="0.25">
      <c r="A373" s="4" t="str">
        <f>IF(D373="","",IF([91]Informationen!D$13="","Keine Rolle angegeben",[91]Informationen!D$13))</f>
        <v>VNB</v>
      </c>
      <c r="B373" s="15" t="str">
        <f>IF(A373="","",[91]Informationen!C$12)</f>
        <v>Zwickauer Energieversorgung GmbH</v>
      </c>
      <c r="C373" s="27">
        <v>12</v>
      </c>
      <c r="D373" s="8" t="s">
        <v>4</v>
      </c>
      <c r="E373" s="6" t="s">
        <v>40</v>
      </c>
      <c r="F373" s="9"/>
      <c r="G373" s="9" t="s">
        <v>80</v>
      </c>
    </row>
    <row r="374" spans="1:7" ht="60" x14ac:dyDescent="0.25">
      <c r="A374" s="4" t="str">
        <f>IF(D374="","",IF([91]Informationen!D$13="","Keine Rolle angegeben",[91]Informationen!D$13))</f>
        <v>VNB</v>
      </c>
      <c r="B374" s="15" t="str">
        <f>IF(A374="","",[91]Informationen!C$12)</f>
        <v>Zwickauer Energieversorgung GmbH</v>
      </c>
      <c r="C374" s="27">
        <v>13</v>
      </c>
      <c r="D374" s="8" t="s">
        <v>4</v>
      </c>
      <c r="E374" s="6" t="s">
        <v>42</v>
      </c>
      <c r="F374" s="9" t="s">
        <v>43</v>
      </c>
      <c r="G374" s="9"/>
    </row>
    <row r="375" spans="1:7" ht="45" x14ac:dyDescent="0.25">
      <c r="A375" s="4" t="str">
        <f>IF(D375="","",IF([91]Informationen!D$13="","Keine Rolle angegeben",[91]Informationen!D$13))</f>
        <v>VNB</v>
      </c>
      <c r="B375" s="15" t="str">
        <f>IF(A375="","",[91]Informationen!C$12)</f>
        <v>Zwickauer Energieversorgung GmbH</v>
      </c>
      <c r="C375" s="27">
        <v>14</v>
      </c>
      <c r="D375" s="8" t="s">
        <v>4</v>
      </c>
      <c r="E375" s="6" t="s">
        <v>44</v>
      </c>
      <c r="F375" s="9" t="s">
        <v>43</v>
      </c>
      <c r="G375" s="9"/>
    </row>
    <row r="376" spans="1:7" ht="30" x14ac:dyDescent="0.25">
      <c r="A376" s="4" t="str">
        <f>IF(D376="","",IF([91]Informationen!D$13="","Keine Rolle angegeben",[91]Informationen!D$13))</f>
        <v>VNB</v>
      </c>
      <c r="B376" s="15" t="str">
        <f>IF(A376="","",[91]Informationen!C$12)</f>
        <v>Zwickauer Energieversorgung GmbH</v>
      </c>
      <c r="C376" s="27">
        <v>15</v>
      </c>
      <c r="D376" s="8" t="s">
        <v>4</v>
      </c>
      <c r="E376" s="6" t="s">
        <v>8</v>
      </c>
      <c r="F376" s="9" t="s">
        <v>43</v>
      </c>
      <c r="G376" s="9"/>
    </row>
    <row r="377" spans="1:7" ht="135" x14ac:dyDescent="0.25">
      <c r="A377" s="4" t="str">
        <f>IF(D377="","",IF([91]Informationen!D$13="","Keine Rolle angegeben",[91]Informationen!D$13))</f>
        <v>VNB</v>
      </c>
      <c r="B377" s="15" t="str">
        <f>IF(A377="","",[91]Informationen!C$12)</f>
        <v>Zwickauer Energieversorgung GmbH</v>
      </c>
      <c r="C377" s="27">
        <v>16</v>
      </c>
      <c r="D377" s="8" t="s">
        <v>45</v>
      </c>
      <c r="E377" s="6"/>
      <c r="F377" s="9" t="s">
        <v>46</v>
      </c>
      <c r="G377" s="9" t="s">
        <v>47</v>
      </c>
    </row>
  </sheetData>
  <autoFilter ref="A1:G377">
    <sortState ref="A2:G377">
      <sortCondition ref="B1:B377"/>
    </sortState>
  </autoFilter>
  <conditionalFormatting sqref="C2:C3">
    <cfRule type="expression" dxfId="290" priority="480">
      <formula>"Informationen!$C$12&lt;&gt;"""""</formula>
    </cfRule>
  </conditionalFormatting>
  <conditionalFormatting sqref="G2:G3">
    <cfRule type="expression" dxfId="289" priority="482">
      <formula>#REF!="x"</formula>
    </cfRule>
  </conditionalFormatting>
  <conditionalFormatting sqref="A2:A3">
    <cfRule type="containsText" dxfId="288" priority="481" operator="containsText" text="Fehlerhafte Eingabe">
      <formula>NOT(ISERROR(SEARCH("Fehlerhafte Eingabe",A2)))</formula>
    </cfRule>
  </conditionalFormatting>
  <conditionalFormatting sqref="C4:C5">
    <cfRule type="expression" dxfId="287" priority="475">
      <formula>"Informationen!$C$12&lt;&gt;"""""</formula>
    </cfRule>
  </conditionalFormatting>
  <conditionalFormatting sqref="G4:G6">
    <cfRule type="expression" dxfId="286" priority="477">
      <formula>#REF!="x"</formula>
    </cfRule>
  </conditionalFormatting>
  <conditionalFormatting sqref="A4:A6">
    <cfRule type="containsText" dxfId="285" priority="476" operator="containsText" text="Fehlerhafte Eingabe">
      <formula>NOT(ISERROR(SEARCH("Fehlerhafte Eingabe",A4)))</formula>
    </cfRule>
  </conditionalFormatting>
  <conditionalFormatting sqref="C7:C8">
    <cfRule type="expression" dxfId="284" priority="470">
      <formula>"Informationen!$C$12&lt;&gt;"""""</formula>
    </cfRule>
  </conditionalFormatting>
  <conditionalFormatting sqref="G7:G8">
    <cfRule type="expression" dxfId="283" priority="472">
      <formula>#REF!="x"</formula>
    </cfRule>
  </conditionalFormatting>
  <conditionalFormatting sqref="A7:A8">
    <cfRule type="containsText" dxfId="282" priority="471" operator="containsText" text="Fehlerhafte Eingabe">
      <formula>NOT(ISERROR(SEARCH("Fehlerhafte Eingabe",A7)))</formula>
    </cfRule>
  </conditionalFormatting>
  <conditionalFormatting sqref="C9">
    <cfRule type="expression" dxfId="281" priority="465">
      <formula>"Informationen!$C$12&lt;&gt;"""""</formula>
    </cfRule>
  </conditionalFormatting>
  <conditionalFormatting sqref="G9">
    <cfRule type="expression" dxfId="280" priority="467">
      <formula>#REF!="x"</formula>
    </cfRule>
  </conditionalFormatting>
  <conditionalFormatting sqref="A9">
    <cfRule type="containsText" dxfId="279" priority="466" operator="containsText" text="Fehlerhafte Eingabe">
      <formula>NOT(ISERROR(SEARCH("Fehlerhafte Eingabe",A9)))</formula>
    </cfRule>
  </conditionalFormatting>
  <conditionalFormatting sqref="C10:C11">
    <cfRule type="expression" dxfId="278" priority="460">
      <formula>"Informationen!$C$12&lt;&gt;"""""</formula>
    </cfRule>
  </conditionalFormatting>
  <conditionalFormatting sqref="G10:G11">
    <cfRule type="expression" dxfId="277" priority="462">
      <formula>#REF!="x"</formula>
    </cfRule>
  </conditionalFormatting>
  <conditionalFormatting sqref="A10:A11">
    <cfRule type="containsText" dxfId="276" priority="461" operator="containsText" text="Fehlerhafte Eingabe">
      <formula>NOT(ISERROR(SEARCH("Fehlerhafte Eingabe",A10)))</formula>
    </cfRule>
  </conditionalFormatting>
  <conditionalFormatting sqref="G12:G15">
    <cfRule type="expression" dxfId="275" priority="457">
      <formula>#REF!="x"</formula>
    </cfRule>
  </conditionalFormatting>
  <conditionalFormatting sqref="A12:A16">
    <cfRule type="containsText" dxfId="274" priority="456" operator="containsText" text="Fehlerhafte Eingabe">
      <formula>NOT(ISERROR(SEARCH("Fehlerhafte Eingabe",A12)))</formula>
    </cfRule>
  </conditionalFormatting>
  <conditionalFormatting sqref="C12:C13 C15:C16">
    <cfRule type="expression" dxfId="273" priority="455">
      <formula>"Informationen!$C$12&lt;&gt;"""""</formula>
    </cfRule>
  </conditionalFormatting>
  <conditionalFormatting sqref="G16">
    <cfRule type="expression" dxfId="272" priority="452">
      <formula>#REF!="x"</formula>
    </cfRule>
  </conditionalFormatting>
  <conditionalFormatting sqref="C17:C18">
    <cfRule type="expression" dxfId="271" priority="449">
      <formula>"Informationen!$C$12&lt;&gt;"""""</formula>
    </cfRule>
  </conditionalFormatting>
  <conditionalFormatting sqref="G17:G18">
    <cfRule type="expression" dxfId="270" priority="451">
      <formula>#REF!="x"</formula>
    </cfRule>
  </conditionalFormatting>
  <conditionalFormatting sqref="A17:A18">
    <cfRule type="containsText" dxfId="269" priority="450" operator="containsText" text="Fehlerhafte Eingabe">
      <formula>NOT(ISERROR(SEARCH("Fehlerhafte Eingabe",A17)))</formula>
    </cfRule>
  </conditionalFormatting>
  <conditionalFormatting sqref="C19:C20">
    <cfRule type="expression" dxfId="268" priority="444">
      <formula>"Informationen!$C$12&lt;&gt;"""""</formula>
    </cfRule>
  </conditionalFormatting>
  <conditionalFormatting sqref="G19:G20">
    <cfRule type="expression" dxfId="267" priority="446">
      <formula>#REF!="x"</formula>
    </cfRule>
  </conditionalFormatting>
  <conditionalFormatting sqref="A19:A20">
    <cfRule type="containsText" dxfId="266" priority="445" operator="containsText" text="Fehlerhafte Eingabe">
      <formula>NOT(ISERROR(SEARCH("Fehlerhafte Eingabe",A19)))</formula>
    </cfRule>
  </conditionalFormatting>
  <conditionalFormatting sqref="C21:C22 C24:C26 C28:C30 C32:C33">
    <cfRule type="expression" dxfId="265" priority="439">
      <formula>"Informationen!$C$12&lt;&gt;"""""</formula>
    </cfRule>
  </conditionalFormatting>
  <conditionalFormatting sqref="G25:G33">
    <cfRule type="expression" dxfId="264" priority="441">
      <formula>#REF!="x"</formula>
    </cfRule>
  </conditionalFormatting>
  <conditionalFormatting sqref="A21:A33">
    <cfRule type="containsText" dxfId="263" priority="440" operator="containsText" text="Fehlerhafte Eingabe">
      <formula>NOT(ISERROR(SEARCH("Fehlerhafte Eingabe",A21)))</formula>
    </cfRule>
  </conditionalFormatting>
  <conditionalFormatting sqref="G21">
    <cfRule type="expression" dxfId="262" priority="436">
      <formula>#REF!="x"</formula>
    </cfRule>
  </conditionalFormatting>
  <conditionalFormatting sqref="G22">
    <cfRule type="expression" dxfId="261" priority="431">
      <formula>#REF!="x"</formula>
    </cfRule>
  </conditionalFormatting>
  <conditionalFormatting sqref="G23">
    <cfRule type="expression" dxfId="260" priority="430">
      <formula>#REF!="x"</formula>
    </cfRule>
  </conditionalFormatting>
  <conditionalFormatting sqref="G24">
    <cfRule type="expression" dxfId="259" priority="427">
      <formula>#REF!="x"</formula>
    </cfRule>
  </conditionalFormatting>
  <conditionalFormatting sqref="C34:C35 C37:C39 C41">
    <cfRule type="expression" dxfId="258" priority="422">
      <formula>"Informationen!$C$12&lt;&gt;"""""</formula>
    </cfRule>
  </conditionalFormatting>
  <conditionalFormatting sqref="G34:G41">
    <cfRule type="expression" dxfId="257" priority="424">
      <formula>#REF!="x"</formula>
    </cfRule>
  </conditionalFormatting>
  <conditionalFormatting sqref="A34:A41">
    <cfRule type="containsText" dxfId="256" priority="423" operator="containsText" text="Fehlerhafte Eingabe">
      <formula>NOT(ISERROR(SEARCH("Fehlerhafte Eingabe",A34)))</formula>
    </cfRule>
  </conditionalFormatting>
  <conditionalFormatting sqref="C42:C43">
    <cfRule type="expression" dxfId="255" priority="417">
      <formula>"Informationen!$C$12&lt;&gt;"""""</formula>
    </cfRule>
  </conditionalFormatting>
  <conditionalFormatting sqref="G42:G43">
    <cfRule type="expression" dxfId="254" priority="419">
      <formula>#REF!="x"</formula>
    </cfRule>
  </conditionalFormatting>
  <conditionalFormatting sqref="A42:A43">
    <cfRule type="containsText" dxfId="253" priority="418" operator="containsText" text="Fehlerhafte Eingabe">
      <formula>NOT(ISERROR(SEARCH("Fehlerhafte Eingabe",A42)))</formula>
    </cfRule>
  </conditionalFormatting>
  <conditionalFormatting sqref="C44:C45">
    <cfRule type="expression" dxfId="252" priority="412">
      <formula>"Informationen!$C$12&lt;&gt;"""""</formula>
    </cfRule>
  </conditionalFormatting>
  <conditionalFormatting sqref="G44:G45">
    <cfRule type="expression" dxfId="251" priority="414">
      <formula>#REF!="x"</formula>
    </cfRule>
  </conditionalFormatting>
  <conditionalFormatting sqref="A44:A45">
    <cfRule type="containsText" dxfId="250" priority="413" operator="containsText" text="Fehlerhafte Eingabe">
      <formula>NOT(ISERROR(SEARCH("Fehlerhafte Eingabe",A44)))</formula>
    </cfRule>
  </conditionalFormatting>
  <conditionalFormatting sqref="C46:C47">
    <cfRule type="expression" dxfId="249" priority="407">
      <formula>"Informationen!$C$12&lt;&gt;"""""</formula>
    </cfRule>
  </conditionalFormatting>
  <conditionalFormatting sqref="G46:G47">
    <cfRule type="expression" dxfId="248" priority="409">
      <formula>#REF!="x"</formula>
    </cfRule>
  </conditionalFormatting>
  <conditionalFormatting sqref="A46:A47">
    <cfRule type="containsText" dxfId="247" priority="408" operator="containsText" text="Fehlerhafte Eingabe">
      <formula>NOT(ISERROR(SEARCH("Fehlerhafte Eingabe",A46)))</formula>
    </cfRule>
  </conditionalFormatting>
  <conditionalFormatting sqref="C48:C49 C51:C53 C55:C57 C59:C61 C63">
    <cfRule type="expression" dxfId="246" priority="402">
      <formula>"Informationen!$C$12&lt;&gt;"""""</formula>
    </cfRule>
  </conditionalFormatting>
  <conditionalFormatting sqref="G48:G63">
    <cfRule type="expression" dxfId="245" priority="404">
      <formula>#REF!="x"</formula>
    </cfRule>
  </conditionalFormatting>
  <conditionalFormatting sqref="A48:A63">
    <cfRule type="containsText" dxfId="244" priority="403" operator="containsText" text="Fehlerhafte Eingabe">
      <formula>NOT(ISERROR(SEARCH("Fehlerhafte Eingabe",A48)))</formula>
    </cfRule>
  </conditionalFormatting>
  <conditionalFormatting sqref="C64:C65 C67:C68">
    <cfRule type="expression" dxfId="243" priority="397">
      <formula>"Informationen!$C$12&lt;&gt;"""""</formula>
    </cfRule>
  </conditionalFormatting>
  <conditionalFormatting sqref="G64:G68">
    <cfRule type="expression" dxfId="242" priority="399">
      <formula>#REF!="x"</formula>
    </cfRule>
  </conditionalFormatting>
  <conditionalFormatting sqref="A64:A68">
    <cfRule type="containsText" dxfId="241" priority="398" operator="containsText" text="Fehlerhafte Eingabe">
      <formula>NOT(ISERROR(SEARCH("Fehlerhafte Eingabe",A64)))</formula>
    </cfRule>
  </conditionalFormatting>
  <conditionalFormatting sqref="C69:C70">
    <cfRule type="expression" dxfId="240" priority="392">
      <formula>"Informationen!$C$12&lt;&gt;"""""</formula>
    </cfRule>
  </conditionalFormatting>
  <conditionalFormatting sqref="G69:G70">
    <cfRule type="expression" dxfId="239" priority="394">
      <formula>#REF!="x"</formula>
    </cfRule>
  </conditionalFormatting>
  <conditionalFormatting sqref="A69:A70">
    <cfRule type="containsText" dxfId="238" priority="393" operator="containsText" text="Fehlerhafte Eingabe">
      <formula>NOT(ISERROR(SEARCH("Fehlerhafte Eingabe",A69)))</formula>
    </cfRule>
  </conditionalFormatting>
  <conditionalFormatting sqref="C71:C72">
    <cfRule type="expression" dxfId="237" priority="387">
      <formula>"Informationen!$C$12&lt;&gt;"""""</formula>
    </cfRule>
  </conditionalFormatting>
  <conditionalFormatting sqref="G71:G72">
    <cfRule type="expression" dxfId="236" priority="389">
      <formula>#REF!="x"</formula>
    </cfRule>
  </conditionalFormatting>
  <conditionalFormatting sqref="A71:A72">
    <cfRule type="containsText" dxfId="235" priority="388" operator="containsText" text="Fehlerhafte Eingabe">
      <formula>NOT(ISERROR(SEARCH("Fehlerhafte Eingabe",A71)))</formula>
    </cfRule>
  </conditionalFormatting>
  <conditionalFormatting sqref="C73:C74 C76:C78">
    <cfRule type="expression" dxfId="234" priority="382">
      <formula>"Informationen!$C$12&lt;&gt;"""""</formula>
    </cfRule>
  </conditionalFormatting>
  <conditionalFormatting sqref="G73:G78">
    <cfRule type="expression" dxfId="233" priority="384">
      <formula>#REF!="x"</formula>
    </cfRule>
  </conditionalFormatting>
  <conditionalFormatting sqref="A73:A78">
    <cfRule type="containsText" dxfId="232" priority="383" operator="containsText" text="Fehlerhafte Eingabe">
      <formula>NOT(ISERROR(SEARCH("Fehlerhafte Eingabe",A73)))</formula>
    </cfRule>
  </conditionalFormatting>
  <conditionalFormatting sqref="C79:C80">
    <cfRule type="expression" dxfId="231" priority="377">
      <formula>"Informationen!$C$12&lt;&gt;"""""</formula>
    </cfRule>
  </conditionalFormatting>
  <conditionalFormatting sqref="G79:G80">
    <cfRule type="expression" dxfId="230" priority="379">
      <formula>#REF!="x"</formula>
    </cfRule>
  </conditionalFormatting>
  <conditionalFormatting sqref="A79:A80">
    <cfRule type="containsText" dxfId="229" priority="378" operator="containsText" text="Fehlerhafte Eingabe">
      <formula>NOT(ISERROR(SEARCH("Fehlerhafte Eingabe",A79)))</formula>
    </cfRule>
  </conditionalFormatting>
  <conditionalFormatting sqref="C81:C82">
    <cfRule type="expression" dxfId="228" priority="372">
      <formula>"Informationen!$C$12&lt;&gt;"""""</formula>
    </cfRule>
  </conditionalFormatting>
  <conditionalFormatting sqref="G81:G82">
    <cfRule type="expression" dxfId="227" priority="374">
      <formula>#REF!="x"</formula>
    </cfRule>
  </conditionalFormatting>
  <conditionalFormatting sqref="A81:A82">
    <cfRule type="containsText" dxfId="226" priority="373" operator="containsText" text="Fehlerhafte Eingabe">
      <formula>NOT(ISERROR(SEARCH("Fehlerhafte Eingabe",A81)))</formula>
    </cfRule>
  </conditionalFormatting>
  <conditionalFormatting sqref="C83:C84 C86:C88 C90:C92 C94:C96 C98:C99">
    <cfRule type="expression" dxfId="225" priority="367">
      <formula>"Informationen!$C$12&lt;&gt;"""""</formula>
    </cfRule>
  </conditionalFormatting>
  <conditionalFormatting sqref="G83:G99">
    <cfRule type="expression" dxfId="224" priority="369">
      <formula>#REF!="x"</formula>
    </cfRule>
  </conditionalFormatting>
  <conditionalFormatting sqref="A83:A99">
    <cfRule type="containsText" dxfId="223" priority="368" operator="containsText" text="Fehlerhafte Eingabe">
      <formula>NOT(ISERROR(SEARCH("Fehlerhafte Eingabe",A83)))</formula>
    </cfRule>
  </conditionalFormatting>
  <conditionalFormatting sqref="C100">
    <cfRule type="expression" dxfId="222" priority="362">
      <formula>"Informationen!$C$12&lt;&gt;"""""</formula>
    </cfRule>
  </conditionalFormatting>
  <conditionalFormatting sqref="G100">
    <cfRule type="expression" dxfId="221" priority="364">
      <formula>#REF!="x"</formula>
    </cfRule>
  </conditionalFormatting>
  <conditionalFormatting sqref="A100">
    <cfRule type="containsText" dxfId="220" priority="363" operator="containsText" text="Fehlerhafte Eingabe">
      <formula>NOT(ISERROR(SEARCH("Fehlerhafte Eingabe",A100)))</formula>
    </cfRule>
  </conditionalFormatting>
  <conditionalFormatting sqref="C101:C102 C104:C106 C108:C110 C112:C114 C116:C117">
    <cfRule type="expression" dxfId="219" priority="357">
      <formula>"Informationen!$C$12&lt;&gt;"""""</formula>
    </cfRule>
  </conditionalFormatting>
  <conditionalFormatting sqref="G101:G117">
    <cfRule type="expression" dxfId="218" priority="359">
      <formula>#REF!="x"</formula>
    </cfRule>
  </conditionalFormatting>
  <conditionalFormatting sqref="A101:A117">
    <cfRule type="containsText" dxfId="217" priority="358" operator="containsText" text="Fehlerhafte Eingabe">
      <formula>NOT(ISERROR(SEARCH("Fehlerhafte Eingabe",A101)))</formula>
    </cfRule>
  </conditionalFormatting>
  <conditionalFormatting sqref="C118:C119 C121:C123 C125:C127 C129:C131 C133:C134">
    <cfRule type="expression" dxfId="216" priority="352">
      <formula>"Informationen!$C$12&lt;&gt;"""""</formula>
    </cfRule>
  </conditionalFormatting>
  <conditionalFormatting sqref="G118:G134">
    <cfRule type="expression" dxfId="215" priority="354">
      <formula>#REF!="x"</formula>
    </cfRule>
  </conditionalFormatting>
  <conditionalFormatting sqref="A118:A134">
    <cfRule type="containsText" dxfId="214" priority="353" operator="containsText" text="Fehlerhafte Eingabe">
      <formula>NOT(ISERROR(SEARCH("Fehlerhafte Eingabe",A118)))</formula>
    </cfRule>
  </conditionalFormatting>
  <conditionalFormatting sqref="C135:C136">
    <cfRule type="expression" dxfId="213" priority="347">
      <formula>"Informationen!$C$12&lt;&gt;"""""</formula>
    </cfRule>
  </conditionalFormatting>
  <conditionalFormatting sqref="G135:G136">
    <cfRule type="expression" dxfId="212" priority="349">
      <formula>#REF!="x"</formula>
    </cfRule>
  </conditionalFormatting>
  <conditionalFormatting sqref="A135:A136">
    <cfRule type="containsText" dxfId="211" priority="348" operator="containsText" text="Fehlerhafte Eingabe">
      <formula>NOT(ISERROR(SEARCH("Fehlerhafte Eingabe",A135)))</formula>
    </cfRule>
  </conditionalFormatting>
  <conditionalFormatting sqref="C137:C138">
    <cfRule type="expression" dxfId="210" priority="342">
      <formula>"Informationen!$C$12&lt;&gt;"""""</formula>
    </cfRule>
  </conditionalFormatting>
  <conditionalFormatting sqref="G137:G138">
    <cfRule type="expression" dxfId="209" priority="344">
      <formula>#REF!="x"</formula>
    </cfRule>
  </conditionalFormatting>
  <conditionalFormatting sqref="A137:A138">
    <cfRule type="containsText" dxfId="208" priority="343" operator="containsText" text="Fehlerhafte Eingabe">
      <formula>NOT(ISERROR(SEARCH("Fehlerhafte Eingabe",A137)))</formula>
    </cfRule>
  </conditionalFormatting>
  <conditionalFormatting sqref="C139:C140 C142">
    <cfRule type="expression" dxfId="207" priority="337">
      <formula>"Informationen!$C$12&lt;&gt;"""""</formula>
    </cfRule>
  </conditionalFormatting>
  <conditionalFormatting sqref="G139:G142">
    <cfRule type="expression" dxfId="206" priority="339">
      <formula>#REF!="x"</formula>
    </cfRule>
  </conditionalFormatting>
  <conditionalFormatting sqref="A139:A142">
    <cfRule type="containsText" dxfId="205" priority="338" operator="containsText" text="Fehlerhafte Eingabe">
      <formula>NOT(ISERROR(SEARCH("Fehlerhafte Eingabe",A139)))</formula>
    </cfRule>
  </conditionalFormatting>
  <conditionalFormatting sqref="G143:G146">
    <cfRule type="expression" dxfId="204" priority="334">
      <formula>#REF!="x"</formula>
    </cfRule>
  </conditionalFormatting>
  <conditionalFormatting sqref="A143:A146">
    <cfRule type="containsText" dxfId="203" priority="333" operator="containsText" text="Fehlerhafte Eingabe">
      <formula>NOT(ISERROR(SEARCH("Fehlerhafte Eingabe",A143)))</formula>
    </cfRule>
  </conditionalFormatting>
  <conditionalFormatting sqref="C143:C144 C146">
    <cfRule type="expression" dxfId="202" priority="332">
      <formula>"Informationen!$C$12&lt;&gt;"""""</formula>
    </cfRule>
  </conditionalFormatting>
  <conditionalFormatting sqref="C147:C148">
    <cfRule type="expression" dxfId="201" priority="327">
      <formula>"Informationen!$C$12&lt;&gt;"""""</formula>
    </cfRule>
  </conditionalFormatting>
  <conditionalFormatting sqref="G147:G149">
    <cfRule type="expression" dxfId="200" priority="329">
      <formula>#REF!="x"</formula>
    </cfRule>
  </conditionalFormatting>
  <conditionalFormatting sqref="A147:A149">
    <cfRule type="containsText" dxfId="199" priority="328" operator="containsText" text="Fehlerhafte Eingabe">
      <formula>NOT(ISERROR(SEARCH("Fehlerhafte Eingabe",A147)))</formula>
    </cfRule>
  </conditionalFormatting>
  <conditionalFormatting sqref="C150:C151">
    <cfRule type="expression" dxfId="198" priority="322">
      <formula>"Informationen!$C$12&lt;&gt;"""""</formula>
    </cfRule>
  </conditionalFormatting>
  <conditionalFormatting sqref="G150:G151">
    <cfRule type="expression" dxfId="197" priority="324">
      <formula>#REF!="x"</formula>
    </cfRule>
  </conditionalFormatting>
  <conditionalFormatting sqref="A150:A151">
    <cfRule type="containsText" dxfId="196" priority="323" operator="containsText" text="Fehlerhafte Eingabe">
      <formula>NOT(ISERROR(SEARCH("Fehlerhafte Eingabe",A150)))</formula>
    </cfRule>
  </conditionalFormatting>
  <conditionalFormatting sqref="C152:C153 C155:C157 C159">
    <cfRule type="expression" dxfId="195" priority="317">
      <formula>"Informationen!$C$12&lt;&gt;"""""</formula>
    </cfRule>
  </conditionalFormatting>
  <conditionalFormatting sqref="G152:G159">
    <cfRule type="expression" dxfId="194" priority="319">
      <formula>#REF!="x"</formula>
    </cfRule>
  </conditionalFormatting>
  <conditionalFormatting sqref="A152:A159">
    <cfRule type="containsText" dxfId="193" priority="318" operator="containsText" text="Fehlerhafte Eingabe">
      <formula>NOT(ISERROR(SEARCH("Fehlerhafte Eingabe",A152)))</formula>
    </cfRule>
  </conditionalFormatting>
  <conditionalFormatting sqref="G160:G168">
    <cfRule type="expression" dxfId="192" priority="314">
      <formula>#REF!="x"</formula>
    </cfRule>
  </conditionalFormatting>
  <conditionalFormatting sqref="A160:A168">
    <cfRule type="containsText" dxfId="191" priority="313" operator="containsText" text="Fehlerhafte Eingabe">
      <formula>NOT(ISERROR(SEARCH("Fehlerhafte Eingabe",A160)))</formula>
    </cfRule>
  </conditionalFormatting>
  <conditionalFormatting sqref="C160:C161 C163:C165 C167:C168">
    <cfRule type="expression" dxfId="190" priority="312">
      <formula>"Informationen!$C$12&lt;&gt;"""""</formula>
    </cfRule>
  </conditionalFormatting>
  <conditionalFormatting sqref="G169:G170">
    <cfRule type="expression" dxfId="189" priority="309">
      <formula>#REF!="x"</formula>
    </cfRule>
  </conditionalFormatting>
  <conditionalFormatting sqref="A169:A170">
    <cfRule type="containsText" dxfId="188" priority="308" operator="containsText" text="Fehlerhafte Eingabe">
      <formula>NOT(ISERROR(SEARCH("Fehlerhafte Eingabe",A169)))</formula>
    </cfRule>
  </conditionalFormatting>
  <conditionalFormatting sqref="C169:C170">
    <cfRule type="expression" dxfId="187" priority="307">
      <formula>"Informationen!$C$12&lt;&gt;"""""</formula>
    </cfRule>
  </conditionalFormatting>
  <conditionalFormatting sqref="G173 G178:G179">
    <cfRule type="expression" dxfId="186" priority="304">
      <formula>#REF!="x"</formula>
    </cfRule>
  </conditionalFormatting>
  <conditionalFormatting sqref="A171:A179">
    <cfRule type="containsText" dxfId="185" priority="303" operator="containsText" text="Fehlerhafte Eingabe">
      <formula>NOT(ISERROR(SEARCH("Fehlerhafte Eingabe",A171)))</formula>
    </cfRule>
  </conditionalFormatting>
  <conditionalFormatting sqref="C171:C172 C174:C176 C178:C179">
    <cfRule type="expression" dxfId="184" priority="302">
      <formula>"Informationen!$C$12&lt;&gt;"""""</formula>
    </cfRule>
  </conditionalFormatting>
  <conditionalFormatting sqref="G172">
    <cfRule type="expression" dxfId="183" priority="299">
      <formula>#REF!="x"</formula>
    </cfRule>
  </conditionalFormatting>
  <conditionalFormatting sqref="G171">
    <cfRule type="expression" dxfId="182" priority="298">
      <formula>#REF!="x"</formula>
    </cfRule>
  </conditionalFormatting>
  <conditionalFormatting sqref="G174">
    <cfRule type="expression" dxfId="181" priority="297">
      <formula>#REF!="x"</formula>
    </cfRule>
  </conditionalFormatting>
  <conditionalFormatting sqref="G175">
    <cfRule type="expression" dxfId="180" priority="296">
      <formula>#REF!="x"</formula>
    </cfRule>
  </conditionalFormatting>
  <conditionalFormatting sqref="G176:G177">
    <cfRule type="expression" dxfId="179" priority="295">
      <formula>#REF!="x"</formula>
    </cfRule>
  </conditionalFormatting>
  <conditionalFormatting sqref="A180:A181">
    <cfRule type="containsText" dxfId="178" priority="294" operator="containsText" text="Fehlerhafte Eingabe">
      <formula>NOT(ISERROR(SEARCH("Fehlerhafte Eingabe",A180)))</formula>
    </cfRule>
  </conditionalFormatting>
  <conditionalFormatting sqref="C180:C181">
    <cfRule type="expression" dxfId="177" priority="293">
      <formula>"Informationen!$C$12&lt;&gt;"""""</formula>
    </cfRule>
  </conditionalFormatting>
  <conditionalFormatting sqref="G180:G181">
    <cfRule type="expression" dxfId="176" priority="290">
      <formula>#REF!="x"</formula>
    </cfRule>
  </conditionalFormatting>
  <conditionalFormatting sqref="C182:C183">
    <cfRule type="expression" dxfId="175" priority="288">
      <formula>"Informationen!$C$12&lt;&gt;"""""</formula>
    </cfRule>
  </conditionalFormatting>
  <conditionalFormatting sqref="G182:G183">
    <cfRule type="expression" dxfId="174" priority="286">
      <formula>#REF!="x"</formula>
    </cfRule>
  </conditionalFormatting>
  <conditionalFormatting sqref="A182:A183">
    <cfRule type="containsText" dxfId="173" priority="287" operator="containsText" text="Fehlerhafte Eingabe">
      <formula>NOT(ISERROR(SEARCH(("Fehlerhafte Eingabe"),(A182))))</formula>
    </cfRule>
  </conditionalFormatting>
  <conditionalFormatting sqref="G184:G193">
    <cfRule type="expression" dxfId="172" priority="285">
      <formula>#REF!="x"</formula>
    </cfRule>
  </conditionalFormatting>
  <conditionalFormatting sqref="A184:A193">
    <cfRule type="containsText" dxfId="171" priority="284" operator="containsText" text="Fehlerhafte Eingabe">
      <formula>NOT(ISERROR(SEARCH("Fehlerhafte Eingabe",A184)))</formula>
    </cfRule>
  </conditionalFormatting>
  <conditionalFormatting sqref="C184:C185 C187:C189 C191:C193">
    <cfRule type="expression" dxfId="170" priority="283">
      <formula>"Informationen!$C$12&lt;&gt;"""""</formula>
    </cfRule>
  </conditionalFormatting>
  <conditionalFormatting sqref="G194:G203">
    <cfRule type="expression" dxfId="169" priority="280">
      <formula>#REF!="x"</formula>
    </cfRule>
  </conditionalFormatting>
  <conditionalFormatting sqref="A194:A203">
    <cfRule type="containsText" dxfId="168" priority="279" operator="containsText" text="Fehlerhafte Eingabe">
      <formula>NOT(ISERROR(SEARCH("Fehlerhafte Eingabe",A194)))</formula>
    </cfRule>
  </conditionalFormatting>
  <conditionalFormatting sqref="C194:C195 C197:C199 C201:C203">
    <cfRule type="expression" dxfId="167" priority="278">
      <formula>"Informationen!$C$12&lt;&gt;"""""</formula>
    </cfRule>
  </conditionalFormatting>
  <conditionalFormatting sqref="G204:G213">
    <cfRule type="expression" dxfId="166" priority="275">
      <formula>#REF!="x"</formula>
    </cfRule>
  </conditionalFormatting>
  <conditionalFormatting sqref="A204:A213">
    <cfRule type="containsText" dxfId="165" priority="274" operator="containsText" text="Fehlerhafte Eingabe">
      <formula>NOT(ISERROR(SEARCH("Fehlerhafte Eingabe",A204)))</formula>
    </cfRule>
  </conditionalFormatting>
  <conditionalFormatting sqref="C204:C205 C207:C209 C211:C213">
    <cfRule type="expression" dxfId="164" priority="273">
      <formula>"Informationen!$C$12&lt;&gt;"""""</formula>
    </cfRule>
  </conditionalFormatting>
  <conditionalFormatting sqref="C214:C215">
    <cfRule type="expression" dxfId="163" priority="268">
      <formula>"Informationen!$C$12&lt;&gt;"""""</formula>
    </cfRule>
  </conditionalFormatting>
  <conditionalFormatting sqref="G214:G216">
    <cfRule type="expression" dxfId="162" priority="270">
      <formula>#REF!="x"</formula>
    </cfRule>
  </conditionalFormatting>
  <conditionalFormatting sqref="A214:A216">
    <cfRule type="containsText" dxfId="161" priority="269" operator="containsText" text="Fehlerhafte Eingabe">
      <formula>NOT(ISERROR(SEARCH("Fehlerhafte Eingabe",A214)))</formula>
    </cfRule>
  </conditionalFormatting>
  <conditionalFormatting sqref="C217:C218">
    <cfRule type="expression" dxfId="160" priority="263">
      <formula>"Informationen!$C$12&lt;&gt;"""""</formula>
    </cfRule>
  </conditionalFormatting>
  <conditionalFormatting sqref="G217:G218">
    <cfRule type="expression" dxfId="159" priority="265">
      <formula>#REF!="x"</formula>
    </cfRule>
  </conditionalFormatting>
  <conditionalFormatting sqref="A217:A218">
    <cfRule type="containsText" dxfId="158" priority="264" operator="containsText" text="Fehlerhafte Eingabe">
      <formula>NOT(ISERROR(SEARCH("Fehlerhafte Eingabe",A217)))</formula>
    </cfRule>
  </conditionalFormatting>
  <conditionalFormatting sqref="G219:G225">
    <cfRule type="expression" dxfId="157" priority="260">
      <formula>#REF!="x"</formula>
    </cfRule>
  </conditionalFormatting>
  <conditionalFormatting sqref="A219:A225">
    <cfRule type="containsText" dxfId="156" priority="259" operator="containsText" text="Fehlerhafte Eingabe">
      <formula>NOT(ISERROR(SEARCH("Fehlerhafte Eingabe",A219)))</formula>
    </cfRule>
  </conditionalFormatting>
  <conditionalFormatting sqref="C219:C220 C222:C224">
    <cfRule type="expression" dxfId="155" priority="258">
      <formula>"Informationen!$C$12&lt;&gt;"""""</formula>
    </cfRule>
  </conditionalFormatting>
  <conditionalFormatting sqref="G226:G235">
    <cfRule type="expression" dxfId="154" priority="255">
      <formula>#REF!="x"</formula>
    </cfRule>
  </conditionalFormatting>
  <conditionalFormatting sqref="A226:A235">
    <cfRule type="containsText" dxfId="153" priority="254" operator="containsText" text="Fehlerhafte Eingabe">
      <formula>NOT(ISERROR(SEARCH("Fehlerhafte Eingabe",A226)))</formula>
    </cfRule>
  </conditionalFormatting>
  <conditionalFormatting sqref="C226:C227 C229:C231 C233:C235">
    <cfRule type="expression" dxfId="152" priority="253">
      <formula>"Informationen!$C$12&lt;&gt;"""""</formula>
    </cfRule>
  </conditionalFormatting>
  <conditionalFormatting sqref="C236:C237">
    <cfRule type="expression" dxfId="151" priority="248">
      <formula>"Informationen!$C$12&lt;&gt;"""""</formula>
    </cfRule>
  </conditionalFormatting>
  <conditionalFormatting sqref="G236:G237">
    <cfRule type="expression" dxfId="150" priority="250">
      <formula>#REF!="x"</formula>
    </cfRule>
  </conditionalFormatting>
  <conditionalFormatting sqref="A236:A237">
    <cfRule type="containsText" dxfId="149" priority="249" operator="containsText" text="Fehlerhafte Eingabe">
      <formula>NOT(ISERROR(SEARCH("Fehlerhafte Eingabe",A236)))</formula>
    </cfRule>
  </conditionalFormatting>
  <conditionalFormatting sqref="C238:C239">
    <cfRule type="expression" dxfId="148" priority="243">
      <formula>"Informationen!$C$12&lt;&gt;"""""</formula>
    </cfRule>
  </conditionalFormatting>
  <conditionalFormatting sqref="G238:G239">
    <cfRule type="expression" dxfId="147" priority="245">
      <formula>#REF!="x"</formula>
    </cfRule>
  </conditionalFormatting>
  <conditionalFormatting sqref="A238:A239">
    <cfRule type="containsText" dxfId="146" priority="244" operator="containsText" text="Fehlerhafte Eingabe">
      <formula>NOT(ISERROR(SEARCH("Fehlerhafte Eingabe",A238)))</formula>
    </cfRule>
  </conditionalFormatting>
  <conditionalFormatting sqref="G240:G241">
    <cfRule type="expression" dxfId="145" priority="240">
      <formula>#REF!="x"</formula>
    </cfRule>
  </conditionalFormatting>
  <conditionalFormatting sqref="A240:A241">
    <cfRule type="containsText" dxfId="144" priority="239" operator="containsText" text="Fehlerhafte Eingabe">
      <formula>NOT(ISERROR(SEARCH("Fehlerhafte Eingabe",A240)))</formula>
    </cfRule>
  </conditionalFormatting>
  <conditionalFormatting sqref="C240:C241">
    <cfRule type="expression" dxfId="143" priority="238">
      <formula>"Informationen!$C$12&lt;&gt;"""""</formula>
    </cfRule>
  </conditionalFormatting>
  <conditionalFormatting sqref="C242:C243">
    <cfRule type="expression" dxfId="142" priority="233">
      <formula>"Informationen!$C$12&lt;&gt;"""""</formula>
    </cfRule>
  </conditionalFormatting>
  <conditionalFormatting sqref="G242:G243">
    <cfRule type="expression" dxfId="141" priority="235">
      <formula>#REF!="x"</formula>
    </cfRule>
  </conditionalFormatting>
  <conditionalFormatting sqref="A242:A243">
    <cfRule type="containsText" dxfId="140" priority="234" operator="containsText" text="Fehlerhafte Eingabe">
      <formula>NOT(ISERROR(SEARCH("Fehlerhafte Eingabe",A242)))</formula>
    </cfRule>
  </conditionalFormatting>
  <conditionalFormatting sqref="C244:C245">
    <cfRule type="expression" dxfId="139" priority="228">
      <formula>"Informationen!$C$12&lt;&gt;"""""</formula>
    </cfRule>
  </conditionalFormatting>
  <conditionalFormatting sqref="G244:G245">
    <cfRule type="expression" dxfId="138" priority="230">
      <formula>#REF!="x"</formula>
    </cfRule>
  </conditionalFormatting>
  <conditionalFormatting sqref="A244:A245">
    <cfRule type="containsText" dxfId="137" priority="229" operator="containsText" text="Fehlerhafte Eingabe">
      <formula>NOT(ISERROR(SEARCH("Fehlerhafte Eingabe",A244)))</formula>
    </cfRule>
  </conditionalFormatting>
  <conditionalFormatting sqref="C246:C247">
    <cfRule type="expression" dxfId="136" priority="223">
      <formula>"Informationen!$C$12&lt;&gt;"""""</formula>
    </cfRule>
  </conditionalFormatting>
  <conditionalFormatting sqref="G246:G247">
    <cfRule type="expression" dxfId="135" priority="225">
      <formula>#REF!="x"</formula>
    </cfRule>
  </conditionalFormatting>
  <conditionalFormatting sqref="A246:A247">
    <cfRule type="containsText" dxfId="134" priority="224" operator="containsText" text="Fehlerhafte Eingabe">
      <formula>NOT(ISERROR(SEARCH("Fehlerhafte Eingabe",A246)))</formula>
    </cfRule>
  </conditionalFormatting>
  <conditionalFormatting sqref="G248:G259">
    <cfRule type="expression" dxfId="133" priority="220">
      <formula>#REF!="x"</formula>
    </cfRule>
  </conditionalFormatting>
  <conditionalFormatting sqref="A248:A259">
    <cfRule type="containsText" dxfId="132" priority="219" operator="containsText" text="Fehlerhafte Eingabe">
      <formula>NOT(ISERROR(SEARCH("Fehlerhafte Eingabe",A248)))</formula>
    </cfRule>
  </conditionalFormatting>
  <conditionalFormatting sqref="C248:C249 C251:C253 C255:C257 C259">
    <cfRule type="expression" dxfId="131" priority="218">
      <formula>"Informationen!$C$12&lt;&gt;"""""</formula>
    </cfRule>
  </conditionalFormatting>
  <conditionalFormatting sqref="C260:C261">
    <cfRule type="expression" dxfId="130" priority="213">
      <formula>"Informationen!$C$12&lt;&gt;"""""</formula>
    </cfRule>
  </conditionalFormatting>
  <conditionalFormatting sqref="G260:G261">
    <cfRule type="expression" dxfId="129" priority="215">
      <formula>#REF!="x"</formula>
    </cfRule>
  </conditionalFormatting>
  <conditionalFormatting sqref="A260:A261">
    <cfRule type="containsText" dxfId="128" priority="214" operator="containsText" text="Fehlerhafte Eingabe">
      <formula>NOT(ISERROR(SEARCH("Fehlerhafte Eingabe",A260)))</formula>
    </cfRule>
  </conditionalFormatting>
  <conditionalFormatting sqref="C262:C263">
    <cfRule type="expression" dxfId="127" priority="208">
      <formula>"Informationen!$C$12&lt;&gt;"""""</formula>
    </cfRule>
  </conditionalFormatting>
  <conditionalFormatting sqref="G262:G263">
    <cfRule type="expression" dxfId="126" priority="210">
      <formula>#REF!="x"</formula>
    </cfRule>
  </conditionalFormatting>
  <conditionalFormatting sqref="A262:A263">
    <cfRule type="containsText" dxfId="125" priority="209" operator="containsText" text="Fehlerhafte Eingabe">
      <formula>NOT(ISERROR(SEARCH("Fehlerhafte Eingabe",A262)))</formula>
    </cfRule>
  </conditionalFormatting>
  <conditionalFormatting sqref="C264:C265">
    <cfRule type="expression" dxfId="124" priority="203">
      <formula>"Informationen!$C$12&lt;&gt;"""""</formula>
    </cfRule>
  </conditionalFormatting>
  <conditionalFormatting sqref="G264:G265">
    <cfRule type="expression" dxfId="123" priority="205">
      <formula>#REF!="x"</formula>
    </cfRule>
  </conditionalFormatting>
  <conditionalFormatting sqref="A264:A265">
    <cfRule type="containsText" dxfId="122" priority="204" operator="containsText" text="Fehlerhafte Eingabe">
      <formula>NOT(ISERROR(SEARCH("Fehlerhafte Eingabe",A264)))</formula>
    </cfRule>
  </conditionalFormatting>
  <conditionalFormatting sqref="C266:C267">
    <cfRule type="expression" dxfId="121" priority="198">
      <formula>"Informationen!$C$12&lt;&gt;"""""</formula>
    </cfRule>
  </conditionalFormatting>
  <conditionalFormatting sqref="G266:G267">
    <cfRule type="expression" dxfId="120" priority="200">
      <formula>#REF!="x"</formula>
    </cfRule>
  </conditionalFormatting>
  <conditionalFormatting sqref="A266:A267">
    <cfRule type="containsText" dxfId="119" priority="199" operator="containsText" text="Fehlerhafte Eingabe">
      <formula>NOT(ISERROR(SEARCH("Fehlerhafte Eingabe",A266)))</formula>
    </cfRule>
  </conditionalFormatting>
  <conditionalFormatting sqref="C268:C269">
    <cfRule type="expression" dxfId="118" priority="193">
      <formula>"Informationen!$C$12&lt;&gt;"""""</formula>
    </cfRule>
  </conditionalFormatting>
  <conditionalFormatting sqref="G268:G269">
    <cfRule type="expression" dxfId="117" priority="195">
      <formula>#REF!="x"</formula>
    </cfRule>
  </conditionalFormatting>
  <conditionalFormatting sqref="A268:A269">
    <cfRule type="containsText" dxfId="116" priority="194" operator="containsText" text="Fehlerhafte Eingabe">
      <formula>NOT(ISERROR(SEARCH("Fehlerhafte Eingabe",A268)))</formula>
    </cfRule>
  </conditionalFormatting>
  <conditionalFormatting sqref="C270:C271 C273:C275 C277:C279 C281:C282">
    <cfRule type="expression" dxfId="115" priority="188">
      <formula>"Informationen!$C$12&lt;&gt;"""""</formula>
    </cfRule>
  </conditionalFormatting>
  <conditionalFormatting sqref="G270:G282">
    <cfRule type="expression" dxfId="114" priority="190">
      <formula>#REF!="x"</formula>
    </cfRule>
  </conditionalFormatting>
  <conditionalFormatting sqref="A270:A282">
    <cfRule type="containsText" dxfId="113" priority="189" operator="containsText" text="Fehlerhafte Eingabe">
      <formula>NOT(ISERROR(SEARCH("Fehlerhafte Eingabe",A270)))</formula>
    </cfRule>
  </conditionalFormatting>
  <conditionalFormatting sqref="C283:C284">
    <cfRule type="expression" dxfId="112" priority="183">
      <formula>"Informationen!$C$12&lt;&gt;"""""</formula>
    </cfRule>
  </conditionalFormatting>
  <conditionalFormatting sqref="G283:G284">
    <cfRule type="expression" dxfId="111" priority="185">
      <formula>#REF!="x"</formula>
    </cfRule>
  </conditionalFormatting>
  <conditionalFormatting sqref="A283:A284">
    <cfRule type="containsText" dxfId="110" priority="184" operator="containsText" text="Fehlerhafte Eingabe">
      <formula>NOT(ISERROR(SEARCH("Fehlerhafte Eingabe",A283)))</formula>
    </cfRule>
  </conditionalFormatting>
  <conditionalFormatting sqref="C285:C286">
    <cfRule type="expression" dxfId="109" priority="178">
      <formula>"Informationen!$C$12&lt;&gt;"""""</formula>
    </cfRule>
  </conditionalFormatting>
  <conditionalFormatting sqref="G285:G286">
    <cfRule type="expression" dxfId="108" priority="180">
      <formula>#REF!="x"</formula>
    </cfRule>
  </conditionalFormatting>
  <conditionalFormatting sqref="A285:A286">
    <cfRule type="containsText" dxfId="107" priority="179" operator="containsText" text="Fehlerhafte Eingabe">
      <formula>NOT(ISERROR(SEARCH("Fehlerhafte Eingabe",A285)))</formula>
    </cfRule>
  </conditionalFormatting>
  <conditionalFormatting sqref="C287:C288">
    <cfRule type="expression" dxfId="106" priority="173">
      <formula>"Informationen!$C$12&lt;&gt;"""""</formula>
    </cfRule>
  </conditionalFormatting>
  <conditionalFormatting sqref="G287:G288">
    <cfRule type="expression" dxfId="105" priority="175">
      <formula>#REF!="x"</formula>
    </cfRule>
  </conditionalFormatting>
  <conditionalFormatting sqref="A287:A288">
    <cfRule type="containsText" dxfId="104" priority="174" operator="containsText" text="Fehlerhafte Eingabe">
      <formula>NOT(ISERROR(SEARCH("Fehlerhafte Eingabe",A287)))</formula>
    </cfRule>
  </conditionalFormatting>
  <conditionalFormatting sqref="C289:C290">
    <cfRule type="expression" dxfId="103" priority="168">
      <formula>"Informationen!$C$12&lt;&gt;"""""</formula>
    </cfRule>
  </conditionalFormatting>
  <conditionalFormatting sqref="G289:G290">
    <cfRule type="expression" dxfId="102" priority="170">
      <formula>#REF!="x"</formula>
    </cfRule>
  </conditionalFormatting>
  <conditionalFormatting sqref="A289:A290">
    <cfRule type="containsText" dxfId="101" priority="169" operator="containsText" text="Fehlerhafte Eingabe">
      <formula>NOT(ISERROR(SEARCH("Fehlerhafte Eingabe",A289)))</formula>
    </cfRule>
  </conditionalFormatting>
  <conditionalFormatting sqref="C291:C292">
    <cfRule type="expression" dxfId="100" priority="163">
      <formula>"Informationen!$C$12&lt;&gt;"""""</formula>
    </cfRule>
  </conditionalFormatting>
  <conditionalFormatting sqref="G291:G292">
    <cfRule type="expression" dxfId="99" priority="165">
      <formula>#REF!="x"</formula>
    </cfRule>
  </conditionalFormatting>
  <conditionalFormatting sqref="A291:A292">
    <cfRule type="containsText" dxfId="98" priority="164" operator="containsText" text="Fehlerhafte Eingabe">
      <formula>NOT(ISERROR(SEARCH("Fehlerhafte Eingabe",A291)))</formula>
    </cfRule>
  </conditionalFormatting>
  <conditionalFormatting sqref="C293:C294">
    <cfRule type="expression" dxfId="97" priority="158">
      <formula>"Informationen!$C$12&lt;&gt;"""""</formula>
    </cfRule>
  </conditionalFormatting>
  <conditionalFormatting sqref="G293:G294">
    <cfRule type="expression" dxfId="96" priority="160">
      <formula>#REF!="x"</formula>
    </cfRule>
  </conditionalFormatting>
  <conditionalFormatting sqref="A293:A294">
    <cfRule type="containsText" dxfId="95" priority="159" operator="containsText" text="Fehlerhafte Eingabe">
      <formula>NOT(ISERROR(SEARCH("Fehlerhafte Eingabe",A293)))</formula>
    </cfRule>
  </conditionalFormatting>
  <conditionalFormatting sqref="C295:C296">
    <cfRule type="expression" dxfId="94" priority="153">
      <formula>"Informationen!$C$12&lt;&gt;"""""</formula>
    </cfRule>
  </conditionalFormatting>
  <conditionalFormatting sqref="G295:G296">
    <cfRule type="expression" dxfId="93" priority="155">
      <formula>#REF!="x"</formula>
    </cfRule>
  </conditionalFormatting>
  <conditionalFormatting sqref="A295:A296">
    <cfRule type="containsText" dxfId="92" priority="154" operator="containsText" text="Fehlerhafte Eingabe">
      <formula>NOT(ISERROR(SEARCH("Fehlerhafte Eingabe",A295)))</formula>
    </cfRule>
  </conditionalFormatting>
  <conditionalFormatting sqref="C297">
    <cfRule type="expression" dxfId="91" priority="148">
      <formula>"Informationen!$C$12&lt;&gt;"""""</formula>
    </cfRule>
  </conditionalFormatting>
  <conditionalFormatting sqref="G297">
    <cfRule type="expression" dxfId="90" priority="150">
      <formula>#REF!="x"</formula>
    </cfRule>
  </conditionalFormatting>
  <conditionalFormatting sqref="A297">
    <cfRule type="containsText" dxfId="89" priority="149" operator="containsText" text="Fehlerhafte Eingabe">
      <formula>NOT(ISERROR(SEARCH("Fehlerhafte Eingabe",A297)))</formula>
    </cfRule>
  </conditionalFormatting>
  <conditionalFormatting sqref="C298:C299">
    <cfRule type="expression" dxfId="88" priority="143">
      <formula>"Informationen!$C$12&lt;&gt;"""""</formula>
    </cfRule>
  </conditionalFormatting>
  <conditionalFormatting sqref="G298:G299">
    <cfRule type="expression" dxfId="87" priority="145">
      <formula>#REF!="x"</formula>
    </cfRule>
  </conditionalFormatting>
  <conditionalFormatting sqref="A298:A299">
    <cfRule type="containsText" dxfId="86" priority="144" operator="containsText" text="Fehlerhafte Eingabe">
      <formula>NOT(ISERROR(SEARCH("Fehlerhafte Eingabe",A298)))</formula>
    </cfRule>
  </conditionalFormatting>
  <conditionalFormatting sqref="G300">
    <cfRule type="expression" dxfId="85" priority="140">
      <formula>#REF!="x"</formula>
    </cfRule>
  </conditionalFormatting>
  <conditionalFormatting sqref="A300">
    <cfRule type="containsText" dxfId="84" priority="139" operator="containsText" text="Fehlerhafte Eingabe">
      <formula>NOT(ISERROR(SEARCH("Fehlerhafte Eingabe",A300)))</formula>
    </cfRule>
  </conditionalFormatting>
  <conditionalFormatting sqref="C300">
    <cfRule type="expression" dxfId="83" priority="138">
      <formula>"Informationen!$C$12&lt;&gt;"""""</formula>
    </cfRule>
  </conditionalFormatting>
  <conditionalFormatting sqref="C301:C302">
    <cfRule type="expression" dxfId="82" priority="133">
      <formula>"Informationen!$C$12&lt;&gt;"""""</formula>
    </cfRule>
  </conditionalFormatting>
  <conditionalFormatting sqref="G301:G302">
    <cfRule type="expression" dxfId="81" priority="135">
      <formula>#REF!="x"</formula>
    </cfRule>
  </conditionalFormatting>
  <conditionalFormatting sqref="A301:A302">
    <cfRule type="containsText" dxfId="80" priority="134" operator="containsText" text="Fehlerhafte Eingabe">
      <formula>NOT(ISERROR(SEARCH("Fehlerhafte Eingabe",A301)))</formula>
    </cfRule>
  </conditionalFormatting>
  <conditionalFormatting sqref="C303:C304">
    <cfRule type="expression" dxfId="79" priority="128">
      <formula>"Informationen!$C$12&lt;&gt;"""""</formula>
    </cfRule>
  </conditionalFormatting>
  <conditionalFormatting sqref="G303:G304">
    <cfRule type="expression" dxfId="78" priority="130">
      <formula>#REF!="x"</formula>
    </cfRule>
  </conditionalFormatting>
  <conditionalFormatting sqref="A303:A304">
    <cfRule type="containsText" dxfId="77" priority="129" operator="containsText" text="Fehlerhafte Eingabe">
      <formula>NOT(ISERROR(SEARCH("Fehlerhafte Eingabe",A303)))</formula>
    </cfRule>
  </conditionalFormatting>
  <conditionalFormatting sqref="C305:C306">
    <cfRule type="expression" dxfId="76" priority="123">
      <formula>"Informationen!$C$12&lt;&gt;"""""</formula>
    </cfRule>
  </conditionalFormatting>
  <conditionalFormatting sqref="G305:G306">
    <cfRule type="expression" dxfId="75" priority="125">
      <formula>#REF!="x"</formula>
    </cfRule>
  </conditionalFormatting>
  <conditionalFormatting sqref="A305:A306">
    <cfRule type="containsText" dxfId="74" priority="124" operator="containsText" text="Fehlerhafte Eingabe">
      <formula>NOT(ISERROR(SEARCH("Fehlerhafte Eingabe",A305)))</formula>
    </cfRule>
  </conditionalFormatting>
  <conditionalFormatting sqref="C307:C308 C310:C312 C314:C316 C318:C320 C322">
    <cfRule type="expression" dxfId="73" priority="118">
      <formula>"Informationen!$C$12&lt;&gt;"""""</formula>
    </cfRule>
  </conditionalFormatting>
  <conditionalFormatting sqref="G307:G322">
    <cfRule type="expression" dxfId="72" priority="120">
      <formula>#REF!="x"</formula>
    </cfRule>
  </conditionalFormatting>
  <conditionalFormatting sqref="A307:A322">
    <cfRule type="containsText" dxfId="71" priority="119" operator="containsText" text="Fehlerhafte Eingabe">
      <formula>NOT(ISERROR(SEARCH("Fehlerhafte Eingabe",A307)))</formula>
    </cfRule>
  </conditionalFormatting>
  <conditionalFormatting sqref="C323:C324">
    <cfRule type="expression" dxfId="70" priority="113">
      <formula>"Informationen!$C$12&lt;&gt;"""""</formula>
    </cfRule>
  </conditionalFormatting>
  <conditionalFormatting sqref="G323:G324">
    <cfRule type="expression" dxfId="69" priority="115">
      <formula>#REF!="x"</formula>
    </cfRule>
  </conditionalFormatting>
  <conditionalFormatting sqref="A323:A324">
    <cfRule type="containsText" dxfId="68" priority="114" operator="containsText" text="Fehlerhafte Eingabe">
      <formula>NOT(ISERROR(SEARCH("Fehlerhafte Eingabe",A323)))</formula>
    </cfRule>
  </conditionalFormatting>
  <conditionalFormatting sqref="C325:C326">
    <cfRule type="expression" dxfId="67" priority="108">
      <formula>"Informationen!$C$12&lt;&gt;"""""</formula>
    </cfRule>
  </conditionalFormatting>
  <conditionalFormatting sqref="G325:G326">
    <cfRule type="expression" dxfId="66" priority="110">
      <formula>#REF!="x"</formula>
    </cfRule>
  </conditionalFormatting>
  <conditionalFormatting sqref="A325:A326">
    <cfRule type="containsText" dxfId="65" priority="109" operator="containsText" text="Fehlerhafte Eingabe">
      <formula>NOT(ISERROR(SEARCH("Fehlerhafte Eingabe",A325)))</formula>
    </cfRule>
  </conditionalFormatting>
  <conditionalFormatting sqref="C327:C328">
    <cfRule type="expression" dxfId="64" priority="103">
      <formula>"Informationen!$C$12&lt;&gt;"""""</formula>
    </cfRule>
  </conditionalFormatting>
  <conditionalFormatting sqref="G327:G328">
    <cfRule type="expression" dxfId="63" priority="105">
      <formula>#REF!="x"</formula>
    </cfRule>
  </conditionalFormatting>
  <conditionalFormatting sqref="A327:A328">
    <cfRule type="containsText" dxfId="62" priority="104" operator="containsText" text="Fehlerhafte Eingabe">
      <formula>NOT(ISERROR(SEARCH("Fehlerhafte Eingabe",A327)))</formula>
    </cfRule>
  </conditionalFormatting>
  <conditionalFormatting sqref="C329:C330">
    <cfRule type="expression" dxfId="61" priority="98">
      <formula>"Informationen!$C$12&lt;&gt;"""""</formula>
    </cfRule>
  </conditionalFormatting>
  <conditionalFormatting sqref="G329:G330">
    <cfRule type="expression" dxfId="60" priority="100">
      <formula>#REF!="x"</formula>
    </cfRule>
  </conditionalFormatting>
  <conditionalFormatting sqref="A329:A330">
    <cfRule type="containsText" dxfId="59" priority="99" operator="containsText" text="Fehlerhafte Eingabe">
      <formula>NOT(ISERROR(SEARCH("Fehlerhafte Eingabe",A329)))</formula>
    </cfRule>
  </conditionalFormatting>
  <conditionalFormatting sqref="C331:C332">
    <cfRule type="expression" dxfId="58" priority="93">
      <formula>"Informationen!$C$12&lt;&gt;"""""</formula>
    </cfRule>
  </conditionalFormatting>
  <conditionalFormatting sqref="G331:G332">
    <cfRule type="expression" dxfId="57" priority="95">
      <formula>#REF!="x"</formula>
    </cfRule>
  </conditionalFormatting>
  <conditionalFormatting sqref="A331:A332">
    <cfRule type="containsText" dxfId="56" priority="94" operator="containsText" text="Fehlerhafte Eingabe">
      <formula>NOT(ISERROR(SEARCH("Fehlerhafte Eingabe",A331)))</formula>
    </cfRule>
  </conditionalFormatting>
  <conditionalFormatting sqref="C333:C334">
    <cfRule type="expression" dxfId="55" priority="88">
      <formula>"Informationen!$C$12&lt;&gt;"""""</formula>
    </cfRule>
  </conditionalFormatting>
  <conditionalFormatting sqref="G333:G334">
    <cfRule type="expression" dxfId="54" priority="90">
      <formula>#REF!="x"</formula>
    </cfRule>
  </conditionalFormatting>
  <conditionalFormatting sqref="A333:A334">
    <cfRule type="containsText" dxfId="53" priority="89" operator="containsText" text="Fehlerhafte Eingabe">
      <formula>NOT(ISERROR(SEARCH("Fehlerhafte Eingabe",A333)))</formula>
    </cfRule>
  </conditionalFormatting>
  <conditionalFormatting sqref="C335:C336">
    <cfRule type="expression" dxfId="52" priority="83">
      <formula>"Informationen!$C$12&lt;&gt;"""""</formula>
    </cfRule>
  </conditionalFormatting>
  <conditionalFormatting sqref="G335:G336">
    <cfRule type="expression" dxfId="51" priority="85">
      <formula>#REF!="x"</formula>
    </cfRule>
  </conditionalFormatting>
  <conditionalFormatting sqref="A335:A336">
    <cfRule type="containsText" dxfId="50" priority="84" operator="containsText" text="Fehlerhafte Eingabe">
      <formula>NOT(ISERROR(SEARCH("Fehlerhafte Eingabe",A335)))</formula>
    </cfRule>
  </conditionalFormatting>
  <conditionalFormatting sqref="C337:C338 C340:C341">
    <cfRule type="expression" dxfId="49" priority="78">
      <formula>"Informationen!$C$12&lt;&gt;"""""</formula>
    </cfRule>
  </conditionalFormatting>
  <conditionalFormatting sqref="G337:G341">
    <cfRule type="expression" dxfId="48" priority="80">
      <formula>#REF!="x"</formula>
    </cfRule>
  </conditionalFormatting>
  <conditionalFormatting sqref="A337:A341">
    <cfRule type="containsText" dxfId="47" priority="79" operator="containsText" text="Fehlerhafte Eingabe">
      <formula>NOT(ISERROR(SEARCH("Fehlerhafte Eingabe",A337)))</formula>
    </cfRule>
  </conditionalFormatting>
  <conditionalFormatting sqref="C342:C343">
    <cfRule type="expression" dxfId="46" priority="73">
      <formula>"Informationen!$C$12&lt;&gt;"""""</formula>
    </cfRule>
  </conditionalFormatting>
  <conditionalFormatting sqref="G342:G344">
    <cfRule type="expression" dxfId="45" priority="75">
      <formula>#REF!="x"</formula>
    </cfRule>
  </conditionalFormatting>
  <conditionalFormatting sqref="A342:A344">
    <cfRule type="containsText" dxfId="44" priority="74" operator="containsText" text="Fehlerhafte Eingabe">
      <formula>NOT(ISERROR(SEARCH("Fehlerhafte Eingabe",A342)))</formula>
    </cfRule>
  </conditionalFormatting>
  <conditionalFormatting sqref="C345:C346">
    <cfRule type="expression" dxfId="43" priority="68">
      <formula>"Informationen!$C$12&lt;&gt;"""""</formula>
    </cfRule>
  </conditionalFormatting>
  <conditionalFormatting sqref="G345:G346">
    <cfRule type="expression" dxfId="42" priority="70">
      <formula>#REF!="x"</formula>
    </cfRule>
  </conditionalFormatting>
  <conditionalFormatting sqref="A345:A346">
    <cfRule type="containsText" dxfId="41" priority="69" operator="containsText" text="Fehlerhafte Eingabe">
      <formula>NOT(ISERROR(SEARCH("Fehlerhafte Eingabe",A345)))</formula>
    </cfRule>
  </conditionalFormatting>
  <conditionalFormatting sqref="C347:C348">
    <cfRule type="expression" dxfId="40" priority="63">
      <formula>"Informationen!$C$12&lt;&gt;"""""</formula>
    </cfRule>
  </conditionalFormatting>
  <conditionalFormatting sqref="G347:G348">
    <cfRule type="expression" dxfId="39" priority="65">
      <formula>#REF!="x"</formula>
    </cfRule>
  </conditionalFormatting>
  <conditionalFormatting sqref="A347:A348">
    <cfRule type="containsText" dxfId="38" priority="64" operator="containsText" text="Fehlerhafte Eingabe">
      <formula>NOT(ISERROR(SEARCH("Fehlerhafte Eingabe",A347)))</formula>
    </cfRule>
  </conditionalFormatting>
  <conditionalFormatting sqref="C349:C350">
    <cfRule type="expression" dxfId="37" priority="58">
      <formula>"Informationen!$C$12&lt;&gt;"""""</formula>
    </cfRule>
  </conditionalFormatting>
  <conditionalFormatting sqref="G349:G350">
    <cfRule type="expression" dxfId="36" priority="60">
      <formula>#REF!="x"</formula>
    </cfRule>
  </conditionalFormatting>
  <conditionalFormatting sqref="A349:A350">
    <cfRule type="containsText" dxfId="35" priority="59" operator="containsText" text="Fehlerhafte Eingabe">
      <formula>NOT(ISERROR(SEARCH("Fehlerhafte Eingabe",A349)))</formula>
    </cfRule>
  </conditionalFormatting>
  <conditionalFormatting sqref="C351:C352">
    <cfRule type="expression" dxfId="34" priority="53">
      <formula>"Informationen!$C$12&lt;&gt;"""""</formula>
    </cfRule>
  </conditionalFormatting>
  <conditionalFormatting sqref="G351:G352">
    <cfRule type="expression" dxfId="33" priority="55">
      <formula>#REF!="x"</formula>
    </cfRule>
  </conditionalFormatting>
  <conditionalFormatting sqref="A351:A352">
    <cfRule type="containsText" dxfId="32" priority="54" operator="containsText" text="Fehlerhafte Eingabe">
      <formula>NOT(ISERROR(SEARCH("Fehlerhafte Eingabe",A351)))</formula>
    </cfRule>
  </conditionalFormatting>
  <conditionalFormatting sqref="C353:C354">
    <cfRule type="expression" dxfId="31" priority="48">
      <formula>"Informationen!$C$12&lt;&gt;"""""</formula>
    </cfRule>
  </conditionalFormatting>
  <conditionalFormatting sqref="G353:G354">
    <cfRule type="expression" dxfId="30" priority="50">
      <formula>#REF!="x"</formula>
    </cfRule>
  </conditionalFormatting>
  <conditionalFormatting sqref="A353:A354">
    <cfRule type="containsText" dxfId="29" priority="49" operator="containsText" text="Fehlerhafte Eingabe">
      <formula>NOT(ISERROR(SEARCH("Fehlerhafte Eingabe",A353)))</formula>
    </cfRule>
  </conditionalFormatting>
  <conditionalFormatting sqref="C355:C356">
    <cfRule type="expression" dxfId="28" priority="43">
      <formula>"Informationen!$C$12&lt;&gt;"""""</formula>
    </cfRule>
  </conditionalFormatting>
  <conditionalFormatting sqref="G355:G356">
    <cfRule type="expression" dxfId="27" priority="45">
      <formula>#REF!="x"</formula>
    </cfRule>
  </conditionalFormatting>
  <conditionalFormatting sqref="A355:A356">
    <cfRule type="containsText" dxfId="26" priority="44" operator="containsText" text="Fehlerhafte Eingabe">
      <formula>NOT(ISERROR(SEARCH("Fehlerhafte Eingabe",A355)))</formula>
    </cfRule>
  </conditionalFormatting>
  <conditionalFormatting sqref="C357:C358">
    <cfRule type="expression" dxfId="25" priority="38">
      <formula>"Informationen!$C$12&lt;&gt;"""""</formula>
    </cfRule>
  </conditionalFormatting>
  <conditionalFormatting sqref="G357:G358">
    <cfRule type="expression" dxfId="24" priority="40">
      <formula>#REF!="x"</formula>
    </cfRule>
  </conditionalFormatting>
  <conditionalFormatting sqref="A357:A358">
    <cfRule type="containsText" dxfId="23" priority="39" operator="containsText" text="Fehlerhafte Eingabe">
      <formula>NOT(ISERROR(SEARCH("Fehlerhafte Eingabe",A357)))</formula>
    </cfRule>
  </conditionalFormatting>
  <conditionalFormatting sqref="C359:C360">
    <cfRule type="expression" dxfId="22" priority="33">
      <formula>"Informationen!$C$12&lt;&gt;"""""</formula>
    </cfRule>
  </conditionalFormatting>
  <conditionalFormatting sqref="G359:G360">
    <cfRule type="expression" dxfId="21" priority="35">
      <formula>#REF!="x"</formula>
    </cfRule>
  </conditionalFormatting>
  <conditionalFormatting sqref="A359:A360">
    <cfRule type="containsText" dxfId="20" priority="34" operator="containsText" text="Fehlerhafte Eingabe">
      <formula>NOT(ISERROR(SEARCH("Fehlerhafte Eingabe",A359)))</formula>
    </cfRule>
  </conditionalFormatting>
  <conditionalFormatting sqref="C361:C362">
    <cfRule type="expression" dxfId="19" priority="28">
      <formula>"Informationen!$C$12&lt;&gt;"""""</formula>
    </cfRule>
  </conditionalFormatting>
  <conditionalFormatting sqref="G361:G362">
    <cfRule type="expression" dxfId="18" priority="30">
      <formula>#REF!="x"</formula>
    </cfRule>
  </conditionalFormatting>
  <conditionalFormatting sqref="A361:A362">
    <cfRule type="containsText" dxfId="17" priority="29" operator="containsText" text="Fehlerhafte Eingabe">
      <formula>NOT(ISERROR(SEARCH("Fehlerhafte Eingabe",A361)))</formula>
    </cfRule>
  </conditionalFormatting>
  <conditionalFormatting sqref="G365 G370:G371">
    <cfRule type="expression" dxfId="16" priority="25">
      <formula>#REF!="x"</formula>
    </cfRule>
  </conditionalFormatting>
  <conditionalFormatting sqref="A363:A371">
    <cfRule type="containsText" dxfId="15" priority="24" operator="containsText" text="Fehlerhafte Eingabe">
      <formula>NOT(ISERROR(SEARCH("Fehlerhafte Eingabe",A363)))</formula>
    </cfRule>
  </conditionalFormatting>
  <conditionalFormatting sqref="C363:C364 C366:C368 C370:C371">
    <cfRule type="expression" dxfId="14" priority="23">
      <formula>"Informationen!$C$12&lt;&gt;"""""</formula>
    </cfRule>
  </conditionalFormatting>
  <conditionalFormatting sqref="G364">
    <cfRule type="expression" dxfId="13" priority="20">
      <formula>#REF!="x"</formula>
    </cfRule>
  </conditionalFormatting>
  <conditionalFormatting sqref="G363">
    <cfRule type="expression" dxfId="12" priority="19">
      <formula>#REF!="x"</formula>
    </cfRule>
  </conditionalFormatting>
  <conditionalFormatting sqref="G366">
    <cfRule type="expression" dxfId="11" priority="18">
      <formula>#REF!="x"</formula>
    </cfRule>
  </conditionalFormatting>
  <conditionalFormatting sqref="G367">
    <cfRule type="expression" dxfId="10" priority="17">
      <formula>#REF!="x"</formula>
    </cfRule>
  </conditionalFormatting>
  <conditionalFormatting sqref="G368:G369">
    <cfRule type="expression" dxfId="9" priority="16">
      <formula>#REF!="x"</formula>
    </cfRule>
  </conditionalFormatting>
  <conditionalFormatting sqref="C372:C373">
    <cfRule type="expression" dxfId="8" priority="13">
      <formula>"Informationen!$C$12&lt;&gt;"""""</formula>
    </cfRule>
  </conditionalFormatting>
  <conditionalFormatting sqref="G372:G373">
    <cfRule type="expression" dxfId="7" priority="15">
      <formula>#REF!="x"</formula>
    </cfRule>
  </conditionalFormatting>
  <conditionalFormatting sqref="A372:A373">
    <cfRule type="containsText" dxfId="6" priority="14" operator="containsText" text="Fehlerhafte Eingabe">
      <formula>NOT(ISERROR(SEARCH("Fehlerhafte Eingabe",A372)))</formula>
    </cfRule>
  </conditionalFormatting>
  <conditionalFormatting sqref="C374:C375">
    <cfRule type="expression" dxfId="5" priority="8">
      <formula>"Informationen!$C$12&lt;&gt;"""""</formula>
    </cfRule>
  </conditionalFormatting>
  <conditionalFormatting sqref="G374:G375">
    <cfRule type="expression" dxfId="4" priority="10">
      <formula>#REF!="x"</formula>
    </cfRule>
  </conditionalFormatting>
  <conditionalFormatting sqref="A374:A375">
    <cfRule type="containsText" dxfId="3" priority="9" operator="containsText" text="Fehlerhafte Eingabe">
      <formula>NOT(ISERROR(SEARCH("Fehlerhafte Eingabe",A374)))</formula>
    </cfRule>
  </conditionalFormatting>
  <conditionalFormatting sqref="C376:C377">
    <cfRule type="expression" dxfId="2" priority="3">
      <formula>"Informationen!$C$12&lt;&gt;"""""</formula>
    </cfRule>
  </conditionalFormatting>
  <conditionalFormatting sqref="G376:G377">
    <cfRule type="expression" dxfId="1" priority="5">
      <formula>#REF!="x"</formula>
    </cfRule>
  </conditionalFormatting>
  <conditionalFormatting sqref="A376:A377">
    <cfRule type="containsText" dxfId="0" priority="4" operator="containsText" text="Fehlerhafte Eingabe">
      <formula>NOT(ISERROR(SEARCH("Fehlerhafte Eingabe",A376)))</formula>
    </cfRule>
  </conditionalFormatting>
  <dataValidations count="4">
    <dataValidation type="custom" showInputMessage="1" showErrorMessage="1" errorTitle="Fehlende Pflichtfeldangabe" error="Es fehlen Pflichtfeldangaben. _x000a__x000a_Prüfen Sie bitte das Namensfeld (&quot;Informationen&quot;) und/oder wählen Sie eine_x000a_Kategorie in Spalte 2 aus." sqref="F2:F64 F66:F181 F184:F299 F301:F377">
      <formula1>OR(ISNONTEXT(D2),ISNONTEXT(B2))=FALSE</formula1>
    </dataValidation>
    <dataValidation type="custom" showErrorMessage="1" errorTitle="Fehlende Pflichtfeldangabe" error="Es fehlen Pflichtfeldangaben. _x000a__x000a_Prüfen Sie bitte das Namensfeld (&quot;Informationen&quot;) und/oder wählen Sie eine_x000a_Kategorie in Spalte 2 aus." sqref="G9 G12:G16 G21:G41 G48:G63 G65:G68 G77:G78 G83:G99 G101:G134 G139:G146 G155 G159:G181 G184:G233 G235:G243 G248:G259 G274:G282 G297 G300 G307:G322 G341:G346 G363:G371">
      <formula1>OR(ISNONTEXT(D9),ISNONTEXT(B9))=FALSE</formula1>
    </dataValidation>
    <dataValidation type="custom" allowBlank="1" showInputMessage="1" showErrorMessage="1" prompt="Fehlende Pflichtfeldangabe - Es fehlen Pflichtfeldangaben. _x000a__x000a_Prüfen Sie bitte das Namensfeld (&quot;Informationen&quot;) und/oder wählen Sie eine_x000a_Kategorie in Spalte 2 aus." sqref="G182:G183">
      <formula1>OR(ISNONTEXT(D182),ISNONTEXT(B182))=FALSE</formula1>
    </dataValidation>
    <dataValidation type="custom" allowBlank="1" showInputMessage="1" showErrorMessage="1" prompt="Fehlende Pflichtfeldangabe - Es fehlen Pflichtfeldangaben. _x000a__x000a_Prüfen Sie bitte das Namensfeld (&quot;Informationen&quot;) und/oder wählen Sie eine_x000a_Kategorie in Spalte 2 aus." sqref="F183">
      <formula1>OR(ISNONTEXT(D183),ISNONTEXT(B183))=FALSE</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92">
        <x14:dataValidation type="list" allowBlank="1" showInputMessage="1" showErrorMessage="1" errorTitle="Fremdeingabe" error="Fremdeingabe nicht möglich">
          <x14:formula1>
            <xm:f>'\\dswibns003\windat\Strom\BK8-Allgemeinfestlegungen\2023_FL_Kosten_Messwesen\03_Konsultation_Eckpunktepapier\03_Stellungnahmen\FormblattStn\[01-2024-01-30-EG BNA - Stellungnahme_zur_Konsultation_Kosten_Messwesen.xlsx]Werte'!#REF!</xm:f>
          </x14:formula1>
          <xm:sqref>D2:D3</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'\\dswibns003\windat\Strom\BK8-Allgemeinfestlegungen\2023_FL_Kosten_Messwesen\03_Konsultation_Eckpunktepapier\03_Stellungnahmen\FormblattStn\[10000316_Bad Honnef AG_Stellungnahme_zur_Konsultation_Kosten_Messwesen.xlsx]Werte'!#REF!</xm:f>
          </x14:formula1>
          <xm:sqref>D4:D6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'\\dswibns003\windat\Strom\BK8-Allgemeinfestlegungen\2023_FL_Kosten_Messwesen\03_Konsultation_Eckpunktepapier\03_Stellungnahmen\FormblattStn\[10000878_Stellungnahme_zur_Konsultation_Kosten_Messwesen_SW_Oranienburg.xlsx]Werte'!#REF!</xm:f>
          </x14:formula1>
          <xm:sqref>D7:D8</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'\\dswibns003\windat\Strom\BK8-Allgemeinfestlegungen\2023_FL_Kosten_Messwesen\03_Konsultation_Eckpunktepapier\03_Stellungnahmen\FormblattStn\[10001832 BK8-23-0007-A_Formblatt_Stellungnahmen.xlsx]Werte'!#REF!</xm:f>
          </x14:formula1>
          <xm:sqref>D9</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 01 30  SWN Stellungnahme_zur_Konsultation_Kosten_Messwesen.xlsx]Werte'!#REF!</xm:f>
          </x14:formula1>
          <xm:sqref>D10:D11</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'\\dswibns003\windat\Strom\BK8-Allgemeinfestlegungen\2023_FL_Kosten_Messwesen\03_Konsultation_Eckpunktepapier\03_Stellungnahmen\FormblattStn\[2024-01-24_BK8-23-0007-Stellungnahmen_NG_Frankfurt_Oder.xlsx]Werte'!#REF!</xm:f>
          </x14:formula1>
          <xm:sqref>D12:D16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'\\dswibns003\windat\Strom\BK8-Allgemeinfestlegungen\2023_FL_Kosten_Messwesen\03_Konsultation_Eckpunktepapier\03_Stellungnahmen\FormblattStn\[2024-01-25 Vereinigte Stadtwerke Netz GmbH Stellungnahme_Konsultation_Kosten_Messwesen.xlsx]Werte'!#REF!</xm:f>
          </x14:formula1>
          <xm:sqref>D17:D18</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'\\dswibns003\windat\Strom\BK8-Allgemeinfestlegungen\2023_FL_Kosten_Messwesen\03_Konsultation_Eckpunktepapier\03_Stellungnahmen\FormblattStn\[2024-01-30, LNG_Stellungnahme_zur_Konsultation_Kosten_Messwesen.xlsx]Werte'!#REF!</xm:f>
          </x14:formula1>
          <xm:sqref>D19:D20</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'\\dswibns003\windat\Strom\BK8-Allgemeinfestlegungen\2023_FL_Kosten_Messwesen\03_Konsultation_Eckpunktepapier\03_Stellungnahmen\FormblattStn\[2024-01-31 Stellungnahme Eckpunktepapier Kostenanerkennung Messwesen.xlsx]Werte'!#REF!</xm:f>
          </x14:formula1>
          <xm:sqref>D21:D33</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'\\dswibns003\windat\Strom\BK8-Allgemeinfestlegungen\2023_FL_Kosten_Messwesen\03_Konsultation_Eckpunktepapier\03_Stellungnahmen\FormblattStn\[2024-01-31 Stellungnahme Westnetz BK8-23-0007-A.xlsx]Werte'!#REF!</xm:f>
          </x14:formula1>
          <xm:sqref>D34:D41</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'\\dswibns003\windat\Strom\BK8-Allgemeinfestlegungen\2023_FL_Kosten_Messwesen\03_Konsultation_Eckpunktepapier\03_Stellungnahmen\FormblattStn\[2024-01-31_KWMK-Stellungnahme_zur_Konsultation_Kosten_Messwesen.xlsx]Werte'!#REF!</xm:f>
          </x14:formula1>
          <xm:sqref>D42:D43</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'\\dswibns003\windat\Strom\BK8-Allgemeinfestlegungen\2023_FL_Kosten_Messwesen\03_Konsultation_Eckpunktepapier\03_Stellungnahmen\FormblattStn\[2024-01-31_nvb Stellungnahme_zur_Konsultation_Kosten_Messwesen.xlsx]Werte'!#REF!</xm:f>
          </x14:formula1>
          <xm:sqref>D44:D45</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'\\dswibns003\windat\Strom\BK8-Allgemeinfestlegungen\2023_FL_Kosten_Messwesen\03_Konsultation_Eckpunktepapier\03_Stellungnahmen\FormblattStn\[20240125_GGEW AG_Stellungnahme_zur_Konsultation_Kosten_Messwesen.xlsx]Werte'!#REF!</xm:f>
          </x14:formula1>
          <xm:sqref>D46:D47</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'\\dswibns003\windat\Strom\BK8-Allgemeinfestlegungen\2023_FL_Kosten_Messwesen\03_Konsultation_Eckpunktepapier\03_Stellungnahmen\FormblattStn\[20240125_Stn_ZEV_Kostenanerkennung-Messwesen.xlsx]Werte'!#REF!</xm:f>
          </x14:formula1>
          <xm:sqref>D48:D63</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'\\dswibns003\windat\Strom\BK8-Allgemeinfestlegungen\2023_FL_Kosten_Messwesen\03_Konsultation_Eckpunktepapier\03_Stellungnahmen\FormblattStn\[20240126_BK8-23-0007-A_Formblatt_Stellungnahmen_final.xlsx]Werte'!#REF!</xm:f>
          </x14:formula1>
          <xm:sqref>D64:D68</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'\\dswibns003\windat\Strom\BK8-Allgemeinfestlegungen\2023_FL_Kosten_Messwesen\03_Konsultation_Eckpunktepapier\03_Stellungnahmen\FormblattStn\[20240129 Stellungnahme_zur_Konsultation_Kosten_Messwesen SWA.xlsx]Werte'!#REF!</xm:f>
          </x14:formula1>
          <xm:sqref>D69:D70</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'\\dswibns003\windat\Strom\BK8-Allgemeinfestlegungen\2023_FL_Kosten_Messwesen\03_Konsultation_Eckpunktepapier\03_Stellungnahmen\FormblattStn\[20240129_Stellungnahme NWSLS.xlsx]Werte'!#REF!</xm:f>
          </x14:formula1>
          <xm:sqref>D71:D72</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'\\dswibns003\windat\Strom\BK8-Allgemeinfestlegungen\2023_FL_Kosten_Messwesen\03_Konsultation_Eckpunktepapier\03_Stellungnahmen\FormblattStn\[20240130 Stellungnahme swt_zur_Konsultation_Kosten_Messwesen.xlsx]Werte'!#REF!</xm:f>
          </x14:formula1>
          <xm:sqref>D73:D78</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'\\dswibns003\windat\Strom\BK8-Allgemeinfestlegungen\2023_FL_Kosten_Messwesen\03_Konsultation_Eckpunktepapier\03_Stellungnahmen\FormblattStn\[20240130_BNetzA-Stellungnahme_zur_Konsultation_Kosten_Messwesen-KEW.xlsx]Werte'!#REF!</xm:f>
          </x14:formula1>
          <xm:sqref>D79:D80</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'\\dswibns003\windat\Strom\BK8-Allgemeinfestlegungen\2023_FL_Kosten_Messwesen\03_Konsultation_Eckpunktepapier\03_Stellungnahmen\FormblattStn\[20240131 Stellungnahme_zur_Konsultation_Kosten_Messwesen.xlsx]Werte'!#REF!</xm:f>
          </x14:formula1>
          <xm:sqref>D81:D82</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'\\dswibns003\windat\Strom\BK8-Allgemeinfestlegungen\2023_FL_Kosten_Messwesen\03_Konsultation_Eckpunktepapier\03_Stellungnahmen\FormblattStn\[20240131_Stellungnahmen SWG.xlsx]Werte'!#REF!</xm:f>
          </x14:formula1>
          <xm:sqref>D83:D99</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'\\dswibns003\windat\Strom\BK8-Allgemeinfestlegungen\2023_FL_Kosten_Messwesen\03_Konsultation_Eckpunktepapier\03_Stellungnahmen\FormblattStn\[20240131_Stellungnahme_zur_Konsultation_Kosten_Messwesen.xlsx]Werte'!#REF!</xm:f>
          </x14:formula1>
          <xm:sqref>D100</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'\\dswibns003\windat\Strom\BK8-Allgemeinfestlegungen\2023_FL_Kosten_Messwesen\03_Konsultation_Eckpunktepapier\03_Stellungnahmen\FormblattStn\[20240131_Thüga_Stellungnahmen_Kostenanerkennung-Messwesen.xlsx]Werte'!#REF!</xm:f>
          </x14:formula1>
          <xm:sqref>D101:D117</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'\\dswibns003\windat\Strom\BK8-Allgemeinfestlegungen\2023_FL_Kosten_Messwesen\03_Konsultation_Eckpunktepapier\03_Stellungnahmen\FormblattStn\[2024_01_25_Stellungnahmen_Kostenanerkennung-Messwesen.xlsx]Werte'!#REF!</xm:f>
          </x14:formula1>
          <xm:sqref>D118:D134</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'\\dswibns003\windat\Strom\BK8-Allgemeinfestlegungen\2023_FL_Kosten_Messwesen\03_Konsultation_Eckpunktepapier\03_Stellungnahmen\FormblattStn\[2024_01_25_Stellungnahme_zur_Konsultation_Kosten_Messwesen.xlsx]Werte'!#REF!</xm:f>
          </x14:formula1>
          <xm:sqref>D135:D136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'\\dswibns003\windat\Strom\BK8-Allgemeinfestlegungen\2023_FL_Kosten_Messwesen\03_Konsultation_Eckpunktepapier\03_Stellungnahmen\FormblattStn\[2024_01_31_MN an BNetzA_Kosten_Messwesen_Stellungnahme.xlsx]Werte'!#REF!</xm:f>
          </x14:formula1>
          <xm:sqref>D137:D138</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'\\dswibns003\windat\Strom\BK8-Allgemeinfestlegungen\2023_FL_Kosten_Messwesen\03_Konsultation_Eckpunktepapier\03_Stellungnahmen\FormblattStn\[240130_an BNetzA_BK8-23-0007-A_Formblatt_Stellungnahmen.xlsx]Werte'!#REF!</xm:f>
          </x14:formula1>
          <xm:sqref>D139:D142</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'\\dswibns003\windat\Strom\BK8-Allgemeinfestlegungen\2023_FL_Kosten_Messwesen\03_Konsultation_Eckpunktepapier\03_Stellungnahmen\FormblattStn\[240131 BK8-23-0007-A_Stellungnahme_Stadtnetze Münster.xlsx]Werte'!#REF!</xm:f>
          </x14:formula1>
          <xm:sqref>D143:D146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'\\dswibns003\windat\Strom\BK8-Allgemeinfestlegungen\2023_FL_Kosten_Messwesen\03_Konsultation_Eckpunktepapier\03_Stellungnahmen\FormblattStn\[240131_Stellungnahme_zur_Konsultation_Kosten_Messwesen_Bielefelder_Netz_GmbH.xlsx]Werte'!#REF!</xm:f>
          </x14:formula1>
          <xm:sqref>D147:D149</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'\\dswibns003\windat\Strom\BK8-Allgemeinfestlegungen\2023_FL_Kosten_Messwesen\03_Konsultation_Eckpunktepapier\03_Stellungnahmen\FormblattStn\[2_ewb Bruchsal_Stellungnahme_zur_Konsultation_Kosten_Messwesen.xlsx]Werte'!#REF!</xm:f>
          </x14:formula1>
          <xm:sqref>D150:D151</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'\\dswibns003\windat\Strom\BK8-Allgemeinfestlegungen\2023_FL_Kosten_Messwesen\03_Konsultation_Eckpunktepapier\03_Stellungnahmen\FormblattStn\[AS_BNetzA_BK8_Stellungnahme_Kosten des Messwesens_20240130.xlsx]Werte'!#REF!</xm:f>
          </x14:formula1>
          <xm:sqref>D152:D159</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'\\dswibns003\windat\Strom\BK8-Allgemeinfestlegungen\2023_FL_Kosten_Messwesen\03_Konsultation_Eckpunktepapier\03_Stellungnahmen\FormblattStn\[BK8-23-0007-A_Formblatt_Stellungnahmen (1).xlsx]Werte'!#REF!</xm:f>
          </x14:formula1>
          <xm:sqref>D160:D168</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'\\dswibns003\windat\Strom\BK8-Allgemeinfestlegungen\2023_FL_Kosten_Messwesen\03_Konsultation_Eckpunktepapier\03_Stellungnahmen\FormblattStn\[BK8-23-0007-A_Formblatt_Stellungnahmen ENWG KG.xlsx]Werte'!#REF!</xm:f>
          </x14:formula1>
          <xm:sqref>D169:D170</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'\\dswibns003\windat\Strom\BK8-Allgemeinfestlegungen\2023_FL_Kosten_Messwesen\03_Konsultation_Eckpunktepapier\03_Stellungnahmen\FormblattStn\[BK8-23-0007-A_Formblatt_Stellungnahmen MFN.xlsx]Werte'!#REF!</xm:f>
          </x14:formula1>
          <xm:sqref>D171:D179</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'\\dswibns003\windat\Strom\BK8-Allgemeinfestlegungen\2023_FL_Kosten_Messwesen\03_Konsultation_Eckpunktepapier\03_Stellungnahmen\FormblattStn\[BK8-23-0007-A_Formblatt_StellungnahmenSWFFB26012024.xlsx]Werte'!#REF!</xm:f>
          </x14:formula1>
          <xm:sqref>D180:D181</xm:sqref>
        </x14:dataValidation>
        <x14:dataValidation type="list" allowBlank="1" showInputMessage="1" showErrorMessage="1" prompt="Fremdeingabe - Fremdeingabe nicht möglich">
          <x14:formula1>
            <xm:f>'\\dswibns003\windat\Strom\BK8-Allgemeinfestlegungen\2023_FL_Kosten_Messwesen\03_Konsultation_Eckpunktepapier\03_Stellungnahmen\FormblattStn\[BK8-23-0007-A_Formblatt_Stellungnahmen_Enoda.xlsx]Werte'!#REF!</xm:f>
          </x14:formula1>
          <xm:sqref>D182:D183</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'\\dswibns003\windat\Strom\BK8-Allgemeinfestlegungen\2023_FL_Kosten_Messwesen\03_Konsultation_Eckpunktepapier\03_Stellungnahmen\FormblattStn\[BK8-23-0007-A_Formblatt_Stellungnahmen_SachsenNetze HS.HD.xlsx]Werte'!#REF!</xm:f>
          </x14:formula1>
          <xm:sqref>D184:D193</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'\\dswibns003\windat\Strom\BK8-Allgemeinfestlegungen\2023_FL_Kosten_Messwesen\03_Konsultation_Eckpunktepapier\03_Stellungnahmen\FormblattStn\[BK8-23-0007-A_Formblatt_Stellungnahmen_SachsenNetze.xlsx]Werte'!#REF!</xm:f>
          </x14:formula1>
          <xm:sqref>D194:D203</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'\\dswibns003\windat\Strom\BK8-Allgemeinfestlegungen\2023_FL_Kosten_Messwesen\03_Konsultation_Eckpunktepapier\03_Stellungnahmen\FormblattStn\[BK8-23-0007-A_Formblatt_Stellungnahmen_Stadtwerke Elbtal.xlsx]Werte'!#REF!</xm:f>
          </x14:formula1>
          <xm:sqref>D204:D213</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'\\dswibns003\windat\Strom\BK8-Allgemeinfestlegungen\2023_FL_Kosten_Messwesen\03_Konsultation_Eckpunktepapier\03_Stellungnahmen\FormblattStn\[BK8-23-0007-A_Formblatt_Stellungnahmen_SWKN.xlsx]Werte'!#REF!</xm:f>
          </x14:formula1>
          <xm:sqref>D214:D216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'\\dswibns003\windat\Strom\BK8-Allgemeinfestlegungen\2023_FL_Kosten_Messwesen\03_Konsultation_Eckpunktepapier\03_Stellungnahmen\FormblattStn\[BK8-23-0007-A_Formblatt_Stellungnahme_Kosultation Messwesen.xlsx]Werte'!#REF!</xm:f>
          </x14:formula1>
          <xm:sqref>D217:D218</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'\\Dswibns003\windat\Strom\BK8-Allgemeinfestlegungen\2023_FL_Kosten_Messwesen\03_Konsultation_Eckpunktepapier\03_Stellungnahmen\FormblattStn\[BK8-23-0007-A_Stellungnahmen_WEMAG Netz.xlsx]Werte'!#REF!</xm:f>
          </x14:formula1>
          <xm:sqref>D219:D225</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'\\dswibns003\windat\Strom\BK8-Allgemeinfestlegungen\2023_FL_Kosten_Messwesen\03_Konsultation_Eckpunktepapier\03_Stellungnahmen\FormblattStn\[BK8-23-0007-A_Stellungnahme_BDEW.xlsx]Werte'!#REF!</xm:f>
          </x14:formula1>
          <xm:sqref>D226:D235</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'\\dswibns003\windat\Strom\BK8-Allgemeinfestlegungen\2023_FL_Kosten_Messwesen\03_Konsultation_Eckpunktepapier\03_Stellungnahmen\FormblattStn\[BK8-23-0007-A_Stellungnahme_Eckpunkte_iMSys.xlsx]Werte'!#REF!</xm:f>
          </x14:formula1>
          <xm:sqref>D236:D237</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'\\dswibns003\windat\Strom\BK8-Allgemeinfestlegungen\2023_FL_Kosten_Messwesen\03_Konsultation_Eckpunktepapier\03_Stellungnahmen\FormblattStn\[BK8-23-0007-A_Stellungnahme_Eckpunkte_iMSys_1.xlsx]Werte'!#REF!</xm:f>
          </x14:formula1>
          <xm:sqref>D238:D239</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'\\dswibns003\windat\Strom\BK8-Allgemeinfestlegungen\2023_FL_Kosten_Messwesen\03_Konsultation_Eckpunktepapier\03_Stellungnahmen\FormblattStn\[BK8-23-0007-A_Stellungnahme_Eckpunkte_iMSys_10001733_20240131.xlsx]Werte'!#REF!</xm:f>
          </x14:formula1>
          <xm:sqref>D240:D241</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'\\dswibns003\windat\Strom\BK8-Allgemeinfestlegungen\2023_FL_Kosten_Messwesen\03_Konsultation_Eckpunktepapier\03_Stellungnahmen\FormblattStn\[BK8-23-0007-A_Stellungnahme_Eckpunkte_iMSys_VWEW.xlsx]Werte'!#REF!</xm:f>
          </x14:formula1>
          <xm:sqref>D242:D243</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'\\dswibns003\windat\Strom\BK8-Allgemeinfestlegungen\2023_FL_Kosten_Messwesen\03_Konsultation_Eckpunktepapier\03_Stellungnahmen\FormblattStn\[BK8-23-0007-A_Stellungnahme_zur_Konsultation_Kosten_Messwesen_SWS_Netz_AG.xlsx]Werte'!#REF!</xm:f>
          </x14:formula1>
          <xm:sqref>D244:D245</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'\\dswibns003\windat\Strom\BK8-Allgemeinfestlegungen\2023_FL_Kosten_Messwesen\03_Konsultation_Eckpunktepapier\03_Stellungnahmen\FormblattStn\[BK8-23-007-A_Formblatt_Stellungnahmen_SWP.xlsx]Werte'!#REF!</xm:f>
          </x14:formula1>
          <xm:sqref>D246:D247</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'\\dswibns003\windat\Strom\BK8-Allgemeinfestlegungen\2023_FL_Kosten_Messwesen\03_Konsultation_Eckpunktepapier\03_Stellungnahmen\FormblattStn\[BK8-23-007-A_Formblatt_Stellungnahme_Netz Leipzig GmbH_2024-01-30.xlsx]Werte'!#REF!</xm:f>
          </x14:formula1>
          <xm:sqref>D248:D259</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'\\dswibns003\windat\Strom\BK8-Allgemeinfestlegungen\2023_FL_Kosten_Messwesen\03_Konsultation_Eckpunktepapier\03_Stellungnahmen\FormblattStn\[ENEG_Strom_Musterstellungnahme_zur_Konsultation_Kosten_Messwesen.xlsx]Werte'!#REF!</xm:f>
          </x14:formula1>
          <xm:sqref>D260:D261</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'\\dswibns003\windat\Strom\BK8-Allgemeinfestlegungen\2023_FL_Kosten_Messwesen\03_Konsultation_Eckpunktepapier\03_Stellungnahmen\FormblattStn\[Energie- und Wasserwerke Bautzen GmbH_Stellungnahme_zur_Konsultation_Kosten_Messwesen.xlsx]Werte'!#REF!</xm:f>
          </x14:formula1>
          <xm:sqref>D262:D263</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'\\dswibns003\windat\Strom\BK8-Allgemeinfestlegungen\2023_FL_Kosten_Messwesen\03_Konsultation_Eckpunktepapier\03_Stellungnahmen\FormblattStn\[Energieversorgung Inselsberg GmbH_Stellungnahme_zur_Konsultation_Kosten_ Messwesen.xlsx]Werte'!#REF!</xm:f>
          </x14:formula1>
          <xm:sqref>D264:D265</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'\\dswibns003\windat\Strom\BK8-Allgemeinfestlegungen\2023_FL_Kosten_Messwesen\03_Konsultation_Eckpunktepapier\03_Stellungnahmen\FormblattStn\[Energieversorgung Limburg GmbH_Stellungnahme_zur_Konsultation_Kosten_Messwesen.xlsx]Werte'!#REF!</xm:f>
          </x14:formula1>
          <xm:sqref>D266:D267</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'\\dswibns003\windat\Strom\BK8-Allgemeinfestlegungen\2023_FL_Kosten_Messwesen\03_Konsultation_Eckpunktepapier\03_Stellungnahmen\FormblattStn\[Flensburg_240123 BK8-23-0007-A_Formblatt_Stellungnahmen.xlsx]Werte'!#REF!</xm:f>
          </x14:formula1>
          <xm:sqref>D268:D269</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'\\dswibns003\windat\Strom\BK8-Allgemeinfestlegungen\2023_FL_Kosten_Messwesen\03_Konsultation_Eckpunktepapier\03_Stellungnahmen\FormblattStn\[inetz_Stn_Anlage zur_Konsultation_Kosten_Messwesen_31.01.2024.xlsx]Werte'!#REF!</xm:f>
          </x14:formula1>
          <xm:sqref>D270:D282</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'\\dswibns003\windat\Strom\BK8-Allgemeinfestlegungen\2023_FL_Kosten_Messwesen\03_Konsultation_Eckpunktepapier\03_Stellungnahmen\FormblattStn\[Konsultation_Kosten_Messwesen_300124.xlsx]Werte'!#REF!</xm:f>
          </x14:formula1>
          <xm:sqref>D283:D284</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'\\dswibns003\windat\Strom\BK8-Allgemeinfestlegungen\2023_FL_Kosten_Messwesen\03_Konsultation_Eckpunktepapier\03_Stellungnahmen\FormblattStn\[Mainnetz GmbH_Stellungnahme_zur_Konsultation_Kosten_Messwesen_final.xlsx]Werte'!#REF!</xm:f>
          </x14:formula1>
          <xm:sqref>D285:D286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'\\dswibns003\windat\Strom\BK8-Allgemeinfestlegungen\2023_FL_Kosten_Messwesen\03_Konsultation_Eckpunktepapier\03_Stellungnahmen\FormblattStn\[Musterstellungnahme_zur_Konsultation_Kosten_Messwesen_1.xlsx]Werte'!#REF!</xm:f>
          </x14:formula1>
          <xm:sqref>D287:D288</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'\\dswibns003\windat\Strom\BK8-Allgemeinfestlegungen\2023_FL_Kosten_Messwesen\03_Konsultation_Eckpunktepapier\03_Stellungnahmen\FormblattStn\[NETCUR GmbH_Stellungnahme Konsultationsverfahren Eckpunkte zur Festlegung der Kosten des Messwesen.xlsx]Werte'!#REF!</xm:f>
          </x14:formula1>
          <xm:sqref>D289:D290</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'\\dswibns003\windat\Strom\BK8-Allgemeinfestlegungen\2023_FL_Kosten_Messwesen\03_Konsultation_Eckpunktepapier\03_Stellungnahmen\FormblattStn\[neu.sw-Stellungnahme_zur_Konsultation_Kosten_Messwesen.xlsx]Werte'!#REF!</xm:f>
          </x14:formula1>
          <xm:sqref>D291:D292</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'\\dswibns003\windat\Strom\BK8-Allgemeinfestlegungen\2023_FL_Kosten_Messwesen\03_Konsultation_Eckpunktepapier\03_Stellungnahmen\FormblattStn\[RegensburgNetzGmbH_Stellungnahme_zur_Konsultation_Kosten_Messwesen.xlsx]Werte'!#REF!</xm:f>
          </x14:formula1>
          <xm:sqref>D293:D294</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'\\dswibns003\windat\Strom\BK8-Allgemeinfestlegungen\2023_FL_Kosten_Messwesen\03_Konsultation_Eckpunktepapier\03_Stellungnahmen\FormblattStn\[Regionalwerk Bodensee Netze GmbH &amp; Co. KG_Stellungnahme_zur_Konsultation_Kosten_Messwesen.xlsx]Werte'!#REF!</xm:f>
          </x14:formula1>
          <xm:sqref>D295:D296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'\\dswibns003\windat\Strom\BK8-Allgemeinfestlegungen\2023_FL_Kosten_Messwesen\03_Konsultation_Eckpunktepapier\03_Stellungnahmen\FormblattStn\[Stadtwerke Ansbach GmbH_BK8-23-0007-A_Formblatt_Stellungnahmen.xlsx]Werte'!#REF!</xm:f>
          </x14:formula1>
          <xm:sqref>D297</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'\\dswibns003\windat\Strom\BK8-Allgemeinfestlegungen\2023_FL_Kosten_Messwesen\03_Konsultation_Eckpunktepapier\03_Stellungnahmen\FormblattStn\[Stadtwerke Bad Saulgau_Musterstellungnahme_zur_Konsultation_Kosten_Messwesen.xlsx]Werte'!#REF!</xm:f>
          </x14:formula1>
          <xm:sqref>D298:D299</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'\\dswibns003\windat\Strom\BK8-Allgemeinfestlegungen\2023_FL_Kosten_Messwesen\03_Konsultation_Eckpunktepapier\03_Stellungnahmen\FormblattStn\[Stadtwerke Bayreuth Energie und Wasser GmbH_BK8-23-0007-A_Formblatt_Stellungnahmen.xlsx]Werte'!#REF!</xm:f>
          </x14:formula1>
          <xm:sqref>D300</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'\\dswibns003\windat\Strom\BK8-Allgemeinfestlegungen\2023_FL_Kosten_Messwesen\03_Konsultation_Eckpunktepapier\03_Stellungnahmen\FormblattStn\[Stadtwerke Buxtehude GmbH_Musterstellungnahme_zur_Konsultation_Kosten_Messwesen.xlsx]Werte'!#REF!</xm:f>
          </x14:formula1>
          <xm:sqref>D301:D302</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'\\dswibns003\windat\Strom\BK8-Allgemeinfestlegungen\2023_FL_Kosten_Messwesen\03_Konsultation_Eckpunktepapier\03_Stellungnahmen\FormblattStn\[Stadtwerke Mengen_Musterstellungnahme_zur_Konsultation_Kosten_Messwesen.xlsx]Werte'!#REF!</xm:f>
          </x14:formula1>
          <xm:sqref>D303:D304</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'\\dswibns003\windat\Strom\BK8-Allgemeinfestlegungen\2023_FL_Kosten_Messwesen\03_Konsultation_Eckpunktepapier\03_Stellungnahmen\FormblattStn\[Stellungnahme_BNetzA_Eckpunktepapier_Kosten_Messwesen_SW Sindelfingen_20240131.xlsx]Werte'!#REF!</xm:f>
          </x14:formula1>
          <xm:sqref>D305:D306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'\\dswibns003\windat\Strom\BK8-Allgemeinfestlegungen\2023_FL_Kosten_Messwesen\03_Konsultation_Eckpunktepapier\03_Stellungnahmen\FormblattStn\[Stellungnahme_Kostenanerkennung-Messwesen_HarzEnergieNetz.xlsx]Werte'!#REF!</xm:f>
          </x14:formula1>
          <xm:sqref>D307:D322</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'\\dswibns003\windat\Strom\BK8-Allgemeinfestlegungen\2023_FL_Kosten_Messwesen\03_Konsultation_Eckpunktepapier\03_Stellungnahmen\FormblattStn\[Stellungnahme_Weißachtal-Kraftwerke_zur_Konsultation_Kosten_Messwesen.xlsx]Werte'!#REF!</xm:f>
          </x14:formula1>
          <xm:sqref>D323:D324</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'\\dswibns003\windat\Strom\BK8-Allgemeinfestlegungen\2023_FL_Kosten_Messwesen\03_Konsultation_Eckpunktepapier\03_Stellungnahmen\FormblattStn\[Stellungnahme_zur_Konsultation_Kosten_Messwesen BK8-23-007-A_23012024.xlsx]Werte'!#REF!</xm:f>
          </x14:formula1>
          <xm:sqref>D325:D326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'\\dswibns003\windat\Strom\BK8-Allgemeinfestlegungen\2023_FL_Kosten_Messwesen\03_Konsultation_Eckpunktepapier\03_Stellungnahmen\FormblattStn\[Stellungnahme_zur_Konsultation_Kosten_Messwesen-Netz Halle.xlsx]Werte'!#REF!</xm:f>
          </x14:formula1>
          <xm:sqref>D327:D328</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'\\dswibns003\windat\Strom\BK8-Allgemeinfestlegungen\2023_FL_Kosten_Messwesen\03_Konsultation_Eckpunktepapier\03_Stellungnahmen\FormblattStn\[Stellungnahme_zur_Konsultation_Kosten_Messwesen_10000349.xlsx]Werte'!#REF!</xm:f>
          </x14:formula1>
          <xm:sqref>D329:D330</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'\\dswibns003\windat\Strom\BK8-Allgemeinfestlegungen\2023_FL_Kosten_Messwesen\03_Konsultation_Eckpunktepapier\03_Stellungnahmen\FormblattStn\[Stellungnahme_zur_Konsultation_Kosten_Messwesen_Stadtwerke Iserlohn GmbH.xlsx]Werte'!#REF!</xm:f>
          </x14:formula1>
          <xm:sqref>D331:D332</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'\\dswibns003\windat\Strom\BK8-Allgemeinfestlegungen\2023_FL_Kosten_Messwesen\03_Konsultation_Eckpunktepapier\03_Stellungnahmen\FormblattStn\[Stellungnahme_zur_Konsultation_Kosten_Messwesen_StadtwerkeDetmoldGmbH.xlsx]Werte'!#REF!</xm:f>
          </x14:formula1>
          <xm:sqref>D333:D334</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'\\dswibns003\windat\Strom\BK8-Allgemeinfestlegungen\2023_FL_Kosten_Messwesen\03_Konsultation_Eckpunktepapier\03_Stellungnahmen\FormblattStn\[Stellungnahme_zur_Konsultation_Kosten_Messwesen_STWBS_29-1-2024.xlsx]Werte'!#REF!</xm:f>
          </x14:formula1>
          <xm:sqref>D335:D336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'\\dswibns003\windat\Strom\BK8-Allgemeinfestlegungen\2023_FL_Kosten_Messwesen\03_Konsultation_Eckpunktepapier\03_Stellungnahmen\FormblattStn\[Stell_nahme_zur_Konsultation_Kosten_Messwesen_FDe_31.01.2024.xlsx]Werte'!#REF!</xm:f>
          </x14:formula1>
          <xm:sqref>D337:D341</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'\\dswibns003\windat\Strom\BK8-Allgemeinfestlegungen\2023_FL_Kosten_Messwesen\03_Konsultation_Eckpunktepapier\03_Stellungnahmen\FormblattStn\[Stuttgart Netze GmbH_BK8-23-0007-A_Formblatt_Stellungnahmen.xlsx]Werte'!#REF!</xm:f>
          </x14:formula1>
          <xm:sqref>D342:D344</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'\\dswibns003\windat\Strom\BK8-Allgemeinfestlegungen\2023_FL_Kosten_Messwesen\03_Konsultation_Eckpunktepapier\03_Stellungnahmen\FormblattStn\[Städtische Betriebswerke Luckenwalde GmbH_BK8-23-0007-A_Formblatt_Stellungnahmen.xlsx]Werte'!#REF!</xm:f>
          </x14:formula1>
          <xm:sqref>D345:D346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'\\dswibns003\windat\Strom\BK8-Allgemeinfestlegungen\2023_FL_Kosten_Messwesen\03_Konsultation_Eckpunktepapier\03_Stellungnahmen\FormblattStn\[SVN_Musterstellungnahme_zur_Konsultation_Kosten_Messwesen.xlsx]Werte'!#REF!</xm:f>
          </x14:formula1>
          <xm:sqref>D347:D348</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'\\dswibns003\windat\Strom\BK8-Allgemeinfestlegungen\2023_FL_Kosten_Messwesen\03_Konsultation_Eckpunktepapier\03_Stellungnahmen\FormblattStn\[SW Metzingen_Stellungnahme_zur_Konsultation_Kosten_Messwesen.xlsx]Werte'!#REF!</xm:f>
          </x14:formula1>
          <xm:sqref>D349:D350</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'\\dswibns003\windat\Strom\BK8-Allgemeinfestlegungen\2023_FL_Kosten_Messwesen\03_Konsultation_Eckpunktepapier\03_Stellungnahmen\FormblattStn\[SW Mühlacker- Stellungnahme_zur_Konsultation_Kosten_Messwesen.xlsx]Werte'!#REF!</xm:f>
          </x14:formula1>
          <xm:sqref>D351:D352</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'\\dswibns003\windat\Strom\BK8-Allgemeinfestlegungen\2023_FL_Kosten_Messwesen\03_Konsultation_Eckpunktepapier\03_Stellungnahmen\FormblattStn\[SW Nürtinge GmbH - Stellungnahme_zur_Konsultation_Kosten_Messwesen.xlsx]Werte'!#REF!</xm:f>
          </x14:formula1>
          <xm:sqref>D353:D354</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'\\dswibns003\windat\Strom\BK8-Allgemeinfestlegungen\2023_FL_Kosten_Messwesen\03_Konsultation_Eckpunktepapier\03_Stellungnahmen\FormblattStn\[SW Pritzwalk_Stellungnahme_zur_Konsultation_Kosten_Messwesen.xlsx]Werte'!#REF!</xm:f>
          </x14:formula1>
          <xm:sqref>D355:D356</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'\\dswibns003\windat\Strom\BK8-Allgemeinfestlegungen\2023_FL_Kosten_Messwesen\03_Konsultation_Eckpunktepapier\03_Stellungnahmen\FormblattStn\[SW Rastatt_Stellungnahme_zur_Konsultation_Kosten_Messwesen.xlsx]Werte'!#REF!</xm:f>
          </x14:formula1>
          <xm:sqref>D357:D358</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'\\dswibns003\windat\Strom\BK8-Allgemeinfestlegungen\2023_FL_Kosten_Messwesen\03_Konsultation_Eckpunktepapier\03_Stellungnahmen\FormblattStn\[SW Rhede GmbH_Stellungnahme_zur_Konsultation_Kosten_Messwesen.xlsx.xlsx]Werte'!#REF!</xm:f>
          </x14:formula1>
          <xm:sqref>D359:D360</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'\\dswibns003\windat\Strom\BK8-Allgemeinfestlegungen\2023_FL_Kosten_Messwesen\03_Konsultation_Eckpunktepapier\03_Stellungnahmen\FormblattStn\[SW Troisdorf_Konsultation_Kosten_Messwesen.xlsx]Werte'!#REF!</xm:f>
          </x14:formula1>
          <xm:sqref>D361:D362</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'\\dswibns003\windat\Strom\BK8-Allgemeinfestlegungen\2023_FL_Kosten_Messwesen\03_Konsultation_Eckpunktepapier\03_Stellungnahmen\FormblattStn\[VKU_BK8-23-0007-A_Formblatt_Stellungnahmen.xlsx]Werte'!#REF!</xm:f>
          </x14:formula1>
          <xm:sqref>D363:D371</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'\\dswibns003\windat\Strom\BK8-Allgemeinfestlegungen\2023_FL_Kosten_Messwesen\03_Konsultation_Eckpunktepapier\03_Stellungnahmen\FormblattStn\[VNG_Strom_Musterstellungnahme_zur_Konsultation_Kosten_Messwesen.xlsx]Werte'!#REF!</xm:f>
          </x14:formula1>
          <xm:sqref>D372:D373</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'\\dswibns003\windat\Strom\BK8-Allgemeinfestlegungen\2023_FL_Kosten_Messwesen\03_Konsultation_Eckpunktepapier\03_Stellungnahmen\FormblattStn\[ÜNG_Strom_Musterstellungnahme_zur_Konsultation_Kosten_Messwesen.xlsx]Werte'!#REF!</xm:f>
          </x14:formula1>
          <xm:sqref>D374:D375</xm:sqref>
        </x14:dataValidation>
        <x14:dataValidation type="list" allowBlank="1" showInputMessage="1" showErrorMessage="1" errorTitle="Fremdeingabe" error="Fremdeingabe nicht möglich">
          <x14:formula1>
            <xm:f>'\\dswibns003\windat\Strom\BK8-Allgemeinfestlegungen\2023_FL_Kosten_Messwesen\03_Konsultation_Eckpunktepapier\03_Stellungnahmen\FormblattStn\[ÜZ Mainfranken Stellungnahme zur Konsultation Kosten Messwesen.xlsx]Werte'!#REF!</xm:f>
          </x14:formula1>
          <xm:sqref>D376:D377</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Stellungnahmen</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BK8o</dc:creator>
  <cp:lastModifiedBy>BK8g</cp:lastModifiedBy>
  <dcterms:created xsi:type="dcterms:W3CDTF">2024-02-01T15:56:14Z</dcterms:created>
  <dcterms:modified xsi:type="dcterms:W3CDTF">2024-02-22T16:18:03Z</dcterms:modified>
</cp:coreProperties>
</file>